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-0.1150052507999999</v>
      </c>
      <c r="G2" t="n">
        <v>0.0325434496498414</v>
      </c>
      <c r="H2" t="n">
        <v>0.0117056122102525</v>
      </c>
      <c r="I2" t="n">
        <v>0.4801366850391487</v>
      </c>
      <c r="J2" t="n">
        <v>0.1343783160085301</v>
      </c>
      <c r="K2" t="n">
        <v>0.2056151071233578</v>
      </c>
      <c r="L2" t="b">
        <v>0</v>
      </c>
      <c r="M2" t="b">
        <v>0</v>
      </c>
      <c r="N2" t="inlineStr">
        <is>
          <t>ref</t>
        </is>
      </c>
      <c r="O2" t="n">
        <v>-100</v>
      </c>
      <c r="P2" t="n">
        <v>0.01107</v>
      </c>
      <c r="Q2" t="n">
        <v>-100</v>
      </c>
      <c r="R2" t="n">
        <v>0.03528</v>
      </c>
      <c r="S2">
        <f>IMAGE("https://mitra.stanford.edu/kundaje/oak/projects/neuro-variants/variant_position/credible/roussos_2024/variant_figures/roussos_2024.childhood.GLU/rs11121162_count_position.png",4,220,900)</f>
        <v/>
      </c>
      <c r="T2">
        <f>IMAGE("https://mitra.stanford.edu/kundaje/oak/projects/neuro-variants/variant_position/credible/roussos_2024/variant_figures/roussos_2024.childhood.GLU/rs11121162_profile_position.png",4,220,900)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0.190891818</v>
      </c>
      <c r="G3" t="n">
        <v>0.0095154582438087</v>
      </c>
      <c r="H3" t="n">
        <v>0.0352756055286246</v>
      </c>
      <c r="I3" t="n">
        <v>0.0137091601634963</v>
      </c>
      <c r="J3" t="n">
        <v>0.2737418484139821</v>
      </c>
      <c r="K3" t="n">
        <v>0.1088369809501667</v>
      </c>
      <c r="L3" t="b">
        <v>1</v>
      </c>
      <c r="M3" t="b">
        <v>1</v>
      </c>
      <c r="N3" t="inlineStr">
        <is>
          <t>alt</t>
        </is>
      </c>
      <c r="O3" t="n">
        <v>15</v>
      </c>
      <c r="P3" t="n">
        <v>0.001038</v>
      </c>
      <c r="Q3" t="n">
        <v>-55</v>
      </c>
      <c r="R3" t="n">
        <v>0.03857</v>
      </c>
      <c r="S3">
        <f>IMAGE("https://mitra.stanford.edu/kundaje/oak/projects/neuro-variants/variant_position/credible/roussos_2024/variant_figures/roussos_2024.childhood.GLU/rs12408399_count_position.png",4,220,900)</f>
        <v/>
      </c>
      <c r="T3">
        <f>IMAGE("https://mitra.stanford.edu/kundaje/oak/projects/neuro-variants/variant_position/credible/roussos_2024/variant_figures/roussos_2024.childhood.GLU/rs12408399_profile_position.png",4,220,900)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-0.183088432</v>
      </c>
      <c r="G4" t="n">
        <v>0.0096702307770481</v>
      </c>
      <c r="H4" t="n">
        <v>0.0251768817507585</v>
      </c>
      <c r="I4" t="n">
        <v>0.0424707342139765</v>
      </c>
      <c r="J4" t="n">
        <v>0.470113426808287</v>
      </c>
      <c r="K4" t="n">
        <v>0.0478869968225193</v>
      </c>
      <c r="L4" t="b">
        <v>1</v>
      </c>
      <c r="M4" t="b">
        <v>1</v>
      </c>
      <c r="N4" t="inlineStr">
        <is>
          <t>ref</t>
        </is>
      </c>
      <c r="O4" t="n">
        <v>90</v>
      </c>
      <c r="P4" t="n">
        <v>0.02621</v>
      </c>
      <c r="Q4" t="n">
        <v>-75</v>
      </c>
      <c r="R4" t="n">
        <v>0.0569</v>
      </c>
      <c r="S4">
        <f>IMAGE("https://mitra.stanford.edu/kundaje/oak/projects/neuro-variants/variant_position/credible/roussos_2024/variant_figures/roussos_2024.childhood.GLU/rs11586622_count_position.png",4,220,900)</f>
        <v/>
      </c>
      <c r="T4">
        <f>IMAGE("https://mitra.stanford.edu/kundaje/oak/projects/neuro-variants/variant_position/credible/roussos_2024/variant_figures/roussos_2024.childhood.GLU/rs11586622_profile_position.png",4,220,900)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0.00611289208</v>
      </c>
      <c r="G5" t="n">
        <v>0.762514013889152</v>
      </c>
      <c r="H5" t="n">
        <v>0.0272086752342704</v>
      </c>
      <c r="I5" t="n">
        <v>0.03128662734413</v>
      </c>
      <c r="J5" t="n">
        <v>0.5081654939371774</v>
      </c>
      <c r="K5" t="n">
        <v>0.0406136746658504</v>
      </c>
      <c r="L5" t="b">
        <v>0</v>
      </c>
      <c r="M5" t="b">
        <v>0</v>
      </c>
      <c r="N5" t="inlineStr">
        <is>
          <t>alt</t>
        </is>
      </c>
      <c r="O5" t="n">
        <v>70</v>
      </c>
      <c r="P5" t="n">
        <v>0.01767</v>
      </c>
      <c r="Q5" t="n">
        <v>-90</v>
      </c>
      <c r="R5" t="n">
        <v>0.33</v>
      </c>
      <c r="S5">
        <f>IMAGE("https://mitra.stanford.edu/kundaje/oak/projects/neuro-variants/variant_position/credible/roussos_2024/variant_figures/roussos_2024.childhood.GLU/rs4908751_count_position.png",4,220,900)</f>
        <v/>
      </c>
      <c r="T5">
        <f>IMAGE("https://mitra.stanford.edu/kundaje/oak/projects/neuro-variants/variant_position/credible/roussos_2024/variant_figures/roussos_2024.childhood.GLU/rs4908751_profile_position.png",4,220,900)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0.0149160541</v>
      </c>
      <c r="G6" t="n">
        <v>0.557994767706372</v>
      </c>
      <c r="H6" t="n">
        <v>0.0199009275707305</v>
      </c>
      <c r="I6" t="n">
        <v>0.1031131942522075</v>
      </c>
      <c r="J6" t="n">
        <v>0.0726755746031091</v>
      </c>
      <c r="K6" t="n">
        <v>0.2930041205989149</v>
      </c>
      <c r="L6" t="b">
        <v>0</v>
      </c>
      <c r="M6" t="b">
        <v>0</v>
      </c>
      <c r="N6" t="inlineStr">
        <is>
          <t>alt</t>
        </is>
      </c>
      <c r="O6" t="n">
        <v>55</v>
      </c>
      <c r="P6" t="n">
        <v>0.00418</v>
      </c>
      <c r="Q6" t="n">
        <v>80</v>
      </c>
      <c r="R6" t="n">
        <v>0.2318</v>
      </c>
      <c r="S6">
        <f>IMAGE("https://mitra.stanford.edu/kundaje/oak/projects/neuro-variants/variant_position/credible/roussos_2024/variant_figures/roussos_2024.childhood.GLU/rs301796_count_position.png",4,220,900)</f>
        <v/>
      </c>
      <c r="T6">
        <f>IMAGE("https://mitra.stanford.edu/kundaje/oak/projects/neuro-variants/variant_position/credible/roussos_2024/variant_figures/roussos_2024.childhood.GLU/rs301796_profile_position.png",4,220,900)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0.048092919</v>
      </c>
      <c r="G7" t="n">
        <v>0.1827597228902776</v>
      </c>
      <c r="H7" t="n">
        <v>0.0120010305356784</v>
      </c>
      <c r="I7" t="n">
        <v>0.4539603034366962</v>
      </c>
      <c r="J7" t="n">
        <v>0.6234137245407811</v>
      </c>
      <c r="K7" t="n">
        <v>0.0235823847276974</v>
      </c>
      <c r="L7" t="b">
        <v>0</v>
      </c>
      <c r="M7" t="b">
        <v>0</v>
      </c>
      <c r="N7" t="inlineStr">
        <is>
          <t>alt</t>
        </is>
      </c>
      <c r="O7" t="n">
        <v>-100</v>
      </c>
      <c r="P7" t="n">
        <v>0.0612</v>
      </c>
      <c r="Q7" t="n">
        <v>-100</v>
      </c>
      <c r="R7" t="n">
        <v>0.3208</v>
      </c>
      <c r="S7">
        <f>IMAGE("https://mitra.stanford.edu/kundaje/oak/projects/neuro-variants/variant_position/credible/roussos_2024/variant_figures/roussos_2024.childhood.GLU/rs301789_count_position.png",4,220,900)</f>
        <v/>
      </c>
      <c r="T7">
        <f>IMAGE("https://mitra.stanford.edu/kundaje/oak/projects/neuro-variants/variant_position/credible/roussos_2024/variant_figures/roussos_2024.childhood.GLU/rs301789_profile_position.png",4,220,900)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-0.0163460454</v>
      </c>
      <c r="G8" t="n">
        <v>0.4803148090948625</v>
      </c>
      <c r="H8" t="n">
        <v>0.0119514561805614</v>
      </c>
      <c r="I8" t="n">
        <v>0.4523922744166854</v>
      </c>
      <c r="J8" t="n">
        <v>0.0320716618418205</v>
      </c>
      <c r="K8" t="n">
        <v>0.4193222364175544</v>
      </c>
      <c r="L8" t="b">
        <v>0</v>
      </c>
      <c r="M8" t="b">
        <v>0</v>
      </c>
      <c r="N8" t="inlineStr">
        <is>
          <t>ref</t>
        </is>
      </c>
      <c r="O8" t="n">
        <v>0</v>
      </c>
      <c r="P8" t="n">
        <v>0</v>
      </c>
      <c r="Q8" t="n">
        <v>75</v>
      </c>
      <c r="R8" t="n">
        <v>0.05347</v>
      </c>
      <c r="S8">
        <f>IMAGE("https://mitra.stanford.edu/kundaje/oak/projects/neuro-variants/variant_position/credible/roussos_2024/variant_figures/roussos_2024.childhood.GLU/rs1763838_count_position.png",4,220,900)</f>
        <v/>
      </c>
      <c r="T8">
        <f>IMAGE("https://mitra.stanford.edu/kundaje/oak/projects/neuro-variants/variant_position/credible/roussos_2024/variant_figures/roussos_2024.childhood.GLU/rs1763838_profile_position.png",4,220,900)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-0.021519483</v>
      </c>
      <c r="G9" t="n">
        <v>0.420201992454971</v>
      </c>
      <c r="H9" t="n">
        <v>0.0317220736512081</v>
      </c>
      <c r="I9" t="n">
        <v>0.0168561895690163</v>
      </c>
      <c r="J9" t="n">
        <v>0.047377584554998</v>
      </c>
      <c r="K9" t="n">
        <v>0.3648178549558796</v>
      </c>
      <c r="L9" t="b">
        <v>1</v>
      </c>
      <c r="M9" t="b">
        <v>0</v>
      </c>
      <c r="N9" t="inlineStr">
        <is>
          <t>ref</t>
        </is>
      </c>
      <c r="O9" t="n">
        <v>95</v>
      </c>
      <c r="P9" t="n">
        <v>0.005188</v>
      </c>
      <c r="Q9" t="n">
        <v>-10</v>
      </c>
      <c r="R9" t="n">
        <v>0.01105</v>
      </c>
      <c r="S9">
        <f>IMAGE("https://mitra.stanford.edu/kundaje/oak/projects/neuro-variants/variant_position/credible/roussos_2024/variant_figures/roussos_2024.childhood.GLU/rs302719_count_position.png",4,220,900)</f>
        <v/>
      </c>
      <c r="T9">
        <f>IMAGE("https://mitra.stanford.edu/kundaje/oak/projects/neuro-variants/variant_position/credible/roussos_2024/variant_figures/roussos_2024.childhood.GLU/rs302719_profile_position.png",4,220,900)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-0.0387468002</v>
      </c>
      <c r="G10" t="n">
        <v>0.2611695235853558</v>
      </c>
      <c r="H10" t="n">
        <v>0.0156740938864766</v>
      </c>
      <c r="I10" t="n">
        <v>0.2337060232724356</v>
      </c>
      <c r="J10" t="n">
        <v>0.0085992149752232</v>
      </c>
      <c r="K10" t="n">
        <v>0.6190495817879421</v>
      </c>
      <c r="L10" t="b">
        <v>0</v>
      </c>
      <c r="M10" t="b">
        <v>0</v>
      </c>
      <c r="N10" t="inlineStr">
        <is>
          <t>ref</t>
        </is>
      </c>
      <c r="O10" t="n">
        <v>30</v>
      </c>
      <c r="P10" t="n">
        <v>0.008449999999999999</v>
      </c>
      <c r="Q10" t="n">
        <v>55</v>
      </c>
      <c r="R10" t="n">
        <v>0.03442</v>
      </c>
      <c r="S10">
        <f>IMAGE("https://mitra.stanford.edu/kundaje/oak/projects/neuro-variants/variant_position/credible/roussos_2024/variant_figures/roussos_2024.childhood.GLU/rs172531_count_position.png",4,220,900)</f>
        <v/>
      </c>
      <c r="T10">
        <f>IMAGE("https://mitra.stanford.edu/kundaje/oak/projects/neuro-variants/variant_position/credible/roussos_2024/variant_figures/roussos_2024.childhood.GLU/rs172531_profile_position.png",4,220,900)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0.04976686465</v>
      </c>
      <c r="G11" t="n">
        <v>0.1898117896840951</v>
      </c>
      <c r="H11" t="n">
        <v>0.0120307600940628</v>
      </c>
      <c r="I11" t="n">
        <v>0.4339589404017748</v>
      </c>
      <c r="J11" t="n">
        <v>0.0440417443621415</v>
      </c>
      <c r="K11" t="n">
        <v>0.3797184182445141</v>
      </c>
      <c r="L11" t="b">
        <v>0</v>
      </c>
      <c r="M11" t="b">
        <v>0</v>
      </c>
      <c r="N11" t="inlineStr">
        <is>
          <t>alt</t>
        </is>
      </c>
      <c r="O11" t="n">
        <v>60</v>
      </c>
      <c r="P11" t="n">
        <v>0.004234</v>
      </c>
      <c r="Q11" t="n">
        <v>50</v>
      </c>
      <c r="R11" t="n">
        <v>0.05032</v>
      </c>
      <c r="S11">
        <f>IMAGE("https://mitra.stanford.edu/kundaje/oak/projects/neuro-variants/variant_position/credible/roussos_2024/variant_figures/roussos_2024.childhood.GLU/rs301818_count_position.png",4,220,900)</f>
        <v/>
      </c>
      <c r="T11">
        <f>IMAGE("https://mitra.stanford.edu/kundaje/oak/projects/neuro-variants/variant_position/credible/roussos_2024/variant_figures/roussos_2024.childhood.GLU/rs301818_profile_position.png",4,220,900)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0.003137982</v>
      </c>
      <c r="G12" t="n">
        <v>0.4355856226346384</v>
      </c>
      <c r="H12" t="n">
        <v>0.0454941312955526</v>
      </c>
      <c r="I12" t="n">
        <v>0.0039062671879356</v>
      </c>
      <c r="J12" t="n">
        <v>0.1436863197585172</v>
      </c>
      <c r="K12" t="n">
        <v>0.2045867299288996</v>
      </c>
      <c r="L12" t="b">
        <v>1</v>
      </c>
      <c r="M12" t="b">
        <v>1</v>
      </c>
      <c r="N12" t="inlineStr">
        <is>
          <t>alt</t>
        </is>
      </c>
      <c r="O12" t="n">
        <v>-45</v>
      </c>
      <c r="P12" t="n">
        <v>0.003937</v>
      </c>
      <c r="Q12" t="n">
        <v>-10</v>
      </c>
      <c r="R12" t="n">
        <v>0.0329</v>
      </c>
      <c r="S12">
        <f>IMAGE("https://mitra.stanford.edu/kundaje/oak/projects/neuro-variants/variant_position/credible/roussos_2024/variant_figures/roussos_2024.childhood.GLU/rs7368197_count_position.png",4,220,900)</f>
        <v/>
      </c>
      <c r="T12">
        <f>IMAGE("https://mitra.stanford.edu/kundaje/oak/projects/neuro-variants/variant_position/credible/roussos_2024/variant_figures/roussos_2024.childhood.GLU/rs7368197_profile_position.png",4,220,900)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-0.08706217939999999</v>
      </c>
      <c r="G13" t="n">
        <v>0.075149623893106</v>
      </c>
      <c r="H13" t="n">
        <v>0.0286320545699701</v>
      </c>
      <c r="I13" t="n">
        <v>0.0276331709649628</v>
      </c>
      <c r="J13" t="n">
        <v>0.1630152368982249</v>
      </c>
      <c r="K13" t="n">
        <v>0.1757970355137551</v>
      </c>
      <c r="L13" t="b">
        <v>0</v>
      </c>
      <c r="M13" t="b">
        <v>0</v>
      </c>
      <c r="N13" t="inlineStr">
        <is>
          <t>ref</t>
        </is>
      </c>
      <c r="O13" t="n">
        <v>5</v>
      </c>
      <c r="P13" t="n">
        <v>0.000641</v>
      </c>
      <c r="Q13" t="n">
        <v>100</v>
      </c>
      <c r="R13" t="n">
        <v>0.3545</v>
      </c>
      <c r="S13">
        <f>IMAGE("https://mitra.stanford.edu/kundaje/oak/projects/neuro-variants/variant_position/credible/roussos_2024/variant_figures/roussos_2024.childhood.GLU/rs61786043_count_position.png",4,220,900)</f>
        <v/>
      </c>
      <c r="T13">
        <f>IMAGE("https://mitra.stanford.edu/kundaje/oak/projects/neuro-variants/variant_position/credible/roussos_2024/variant_figures/roussos_2024.childhood.GLU/rs61786043_profile_position.png",4,220,900)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-0.0608792159999999</v>
      </c>
      <c r="G14" t="n">
        <v>0.1247257796123075</v>
      </c>
      <c r="H14" t="n">
        <v>0.0130017330790955</v>
      </c>
      <c r="I14" t="n">
        <v>0.3793446484730243</v>
      </c>
      <c r="J14" t="n">
        <v>0.0230078193412796</v>
      </c>
      <c r="K14" t="n">
        <v>0.4750199445802606</v>
      </c>
      <c r="L14" t="b">
        <v>0</v>
      </c>
      <c r="M14" t="b">
        <v>0</v>
      </c>
      <c r="N14" t="inlineStr">
        <is>
          <t>ref</t>
        </is>
      </c>
      <c r="O14" t="n">
        <v>85</v>
      </c>
      <c r="P14" t="n">
        <v>0.02914</v>
      </c>
      <c r="Q14" t="n">
        <v>90</v>
      </c>
      <c r="R14" t="n">
        <v>0.05014</v>
      </c>
      <c r="S14">
        <f>IMAGE("https://mitra.stanford.edu/kundaje/oak/projects/neuro-variants/variant_position/credible/roussos_2024/variant_figures/roussos_2024.childhood.GLU/rs61787564_count_position.png",4,220,900)</f>
        <v/>
      </c>
      <c r="T14">
        <f>IMAGE("https://mitra.stanford.edu/kundaje/oak/projects/neuro-variants/variant_position/credible/roussos_2024/variant_figures/roussos_2024.childhood.GLU/rs61787564_profile_position.png",4,220,900)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-0.00591412986</v>
      </c>
      <c r="G15" t="n">
        <v>0.7944828574360436</v>
      </c>
      <c r="H15" t="n">
        <v>0.0367206549927156</v>
      </c>
      <c r="I15" t="n">
        <v>0.009183974153147</v>
      </c>
      <c r="J15" t="n">
        <v>0.0316966631295908</v>
      </c>
      <c r="K15" t="n">
        <v>0.4255112743371083</v>
      </c>
      <c r="L15" t="b">
        <v>1</v>
      </c>
      <c r="M15" t="b">
        <v>0</v>
      </c>
      <c r="N15" t="inlineStr">
        <is>
          <t>ref</t>
        </is>
      </c>
      <c r="O15" t="n">
        <v>-45</v>
      </c>
      <c r="P15" t="n">
        <v>0.00769</v>
      </c>
      <c r="Q15" t="n">
        <v>-100</v>
      </c>
      <c r="R15" t="n">
        <v>0.2297</v>
      </c>
      <c r="S15">
        <f>IMAGE("https://mitra.stanford.edu/kundaje/oak/projects/neuro-variants/variant_position/credible/roussos_2024/variant_figures/roussos_2024.childhood.GLU/rs61787565_count_position.png",4,220,900)</f>
        <v/>
      </c>
      <c r="T15">
        <f>IMAGE("https://mitra.stanford.edu/kundaje/oak/projects/neuro-variants/variant_position/credible/roussos_2024/variant_figures/roussos_2024.childhood.GLU/rs61787565_profile_position.png",4,220,900)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-0.007904565299999999</v>
      </c>
      <c r="G16" t="n">
        <v>0.6862559091999726</v>
      </c>
      <c r="H16" t="n">
        <v>0.037204657636302</v>
      </c>
      <c r="I16" t="n">
        <v>0.0088243920747161</v>
      </c>
      <c r="J16" t="n">
        <v>0.07090257244995719</v>
      </c>
      <c r="K16" t="n">
        <v>0.2981296789822344</v>
      </c>
      <c r="L16" t="b">
        <v>1</v>
      </c>
      <c r="M16" t="b">
        <v>1</v>
      </c>
      <c r="N16" t="inlineStr">
        <is>
          <t>ref</t>
        </is>
      </c>
      <c r="O16" t="n">
        <v>85</v>
      </c>
      <c r="P16" t="n">
        <v>0.00393</v>
      </c>
      <c r="Q16" t="n">
        <v>65</v>
      </c>
      <c r="R16" t="n">
        <v>0.02673</v>
      </c>
      <c r="S16">
        <f>IMAGE("https://mitra.stanford.edu/kundaje/oak/projects/neuro-variants/variant_position/credible/roussos_2024/variant_figures/roussos_2024.childhood.GLU/rs113507743_count_position.png",4,220,900)</f>
        <v/>
      </c>
      <c r="T16">
        <f>IMAGE("https://mitra.stanford.edu/kundaje/oak/projects/neuro-variants/variant_position/credible/roussos_2024/variant_figures/roussos_2024.childhood.GLU/rs113507743_profile_position.png",4,220,900)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-0.00536964946</v>
      </c>
      <c r="G17" t="n">
        <v>0.6697005569343395</v>
      </c>
      <c r="H17" t="n">
        <v>0.0135956273228461</v>
      </c>
      <c r="I17" t="n">
        <v>0.3309959362262263</v>
      </c>
      <c r="J17" t="n">
        <v>0.165670104154862</v>
      </c>
      <c r="K17" t="n">
        <v>0.1752048972645326</v>
      </c>
      <c r="L17" t="b">
        <v>0</v>
      </c>
      <c r="M17" t="b">
        <v>0</v>
      </c>
      <c r="N17" t="inlineStr">
        <is>
          <t>ref</t>
        </is>
      </c>
      <c r="O17" t="n">
        <v>-40</v>
      </c>
      <c r="P17" t="n">
        <v>0.002117</v>
      </c>
      <c r="Q17" t="n">
        <v>100</v>
      </c>
      <c r="R17" t="n">
        <v>0.09080000000000001</v>
      </c>
      <c r="S17">
        <f>IMAGE("https://mitra.stanford.edu/kundaje/oak/projects/neuro-variants/variant_position/credible/roussos_2024/variant_figures/roussos_2024.childhood.GLU/rs61787581_count_position.png",4,220,900)</f>
        <v/>
      </c>
      <c r="T17">
        <f>IMAGE("https://mitra.stanford.edu/kundaje/oak/projects/neuro-variants/variant_position/credible/roussos_2024/variant_figures/roussos_2024.childhood.GLU/rs61787581_profile_position.png",4,220,900)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0.0100956916</v>
      </c>
      <c r="G18" t="n">
        <v>0.6332315142066736</v>
      </c>
      <c r="H18" t="n">
        <v>0.0158048267858298</v>
      </c>
      <c r="I18" t="n">
        <v>0.2118459007671438</v>
      </c>
      <c r="J18" t="n">
        <v>0.0203107132187045</v>
      </c>
      <c r="K18" t="n">
        <v>0.4910626203900959</v>
      </c>
      <c r="L18" t="b">
        <v>0</v>
      </c>
      <c r="M18" t="b">
        <v>0</v>
      </c>
      <c r="N18" t="inlineStr">
        <is>
          <t>alt</t>
        </is>
      </c>
      <c r="O18" t="n">
        <v>85</v>
      </c>
      <c r="P18" t="n">
        <v>0.003468</v>
      </c>
      <c r="Q18" t="n">
        <v>100</v>
      </c>
      <c r="R18" t="n">
        <v>0.1031</v>
      </c>
      <c r="S18">
        <f>IMAGE("https://mitra.stanford.edu/kundaje/oak/projects/neuro-variants/variant_position/credible/roussos_2024/variant_figures/roussos_2024.childhood.GLU/rs569356_count_position.png",4,220,900)</f>
        <v/>
      </c>
      <c r="T18">
        <f>IMAGE("https://mitra.stanford.edu/kundaje/oak/projects/neuro-variants/variant_position/credible/roussos_2024/variant_figures/roussos_2024.childhood.GLU/rs569356_profile_position.png",4,220,900)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-0.0247270308</v>
      </c>
      <c r="G19" t="n">
        <v>0.4098591690622306</v>
      </c>
      <c r="H19" t="n">
        <v>0.0122533045014049</v>
      </c>
      <c r="I19" t="n">
        <v>0.4357595401377789</v>
      </c>
      <c r="J19" t="n">
        <v>0.5490547765976078</v>
      </c>
      <c r="K19" t="n">
        <v>0.0337822507533425</v>
      </c>
      <c r="L19" t="b">
        <v>0</v>
      </c>
      <c r="M19" t="b">
        <v>0</v>
      </c>
      <c r="N19" t="inlineStr">
        <is>
          <t>ref</t>
        </is>
      </c>
      <c r="O19" t="n">
        <v>95</v>
      </c>
      <c r="P19" t="n">
        <v>0.01175</v>
      </c>
      <c r="Q19" t="n">
        <v>45</v>
      </c>
      <c r="R19" t="n">
        <v>0.04993</v>
      </c>
      <c r="S19">
        <f>IMAGE("https://mitra.stanford.edu/kundaje/oak/projects/neuro-variants/variant_position/credible/roussos_2024/variant_figures/roussos_2024.childhood.GLU/rs533123_count_position.png",4,220,900)</f>
        <v/>
      </c>
      <c r="T19">
        <f>IMAGE("https://mitra.stanford.edu/kundaje/oak/projects/neuro-variants/variant_position/credible/roussos_2024/variant_figures/roussos_2024.childhood.GLU/rs533123_profile_position.png",4,220,900)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0.1113779496</v>
      </c>
      <c r="G20" t="n">
        <v>0.03816492026578</v>
      </c>
      <c r="H20" t="n">
        <v>0.0173508590808864</v>
      </c>
      <c r="I20" t="n">
        <v>0.1705686451703045</v>
      </c>
      <c r="J20" t="n">
        <v>0.3610186778204745</v>
      </c>
      <c r="K20" t="n">
        <v>0.0756478972940326</v>
      </c>
      <c r="L20" t="b">
        <v>0</v>
      </c>
      <c r="M20" t="b">
        <v>0</v>
      </c>
      <c r="N20" t="inlineStr">
        <is>
          <t>alt</t>
        </is>
      </c>
      <c r="O20" t="n">
        <v>70</v>
      </c>
      <c r="P20" t="n">
        <v>0.02011</v>
      </c>
      <c r="Q20" t="n">
        <v>-100</v>
      </c>
      <c r="R20" t="n">
        <v>0.05472</v>
      </c>
      <c r="S20">
        <f>IMAGE("https://mitra.stanford.edu/kundaje/oak/projects/neuro-variants/variant_position/credible/roussos_2024/variant_figures/roussos_2024.childhood.GLU/rs369247_count_position.png",4,220,900)</f>
        <v/>
      </c>
      <c r="T20">
        <f>IMAGE("https://mitra.stanford.edu/kundaje/oak/projects/neuro-variants/variant_position/credible/roussos_2024/variant_figures/roussos_2024.childhood.GLU/rs369247_profile_position.png",4,220,900)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0.02184805246</v>
      </c>
      <c r="G21" t="n">
        <v>0.4434882360618066</v>
      </c>
      <c r="H21" t="n">
        <v>0.0251225573564191</v>
      </c>
      <c r="I21" t="n">
        <v>0.0421580290215806</v>
      </c>
      <c r="J21" t="n">
        <v>0.2416011620839214</v>
      </c>
      <c r="K21" t="n">
        <v>0.12480419116658</v>
      </c>
      <c r="L21" t="b">
        <v>0</v>
      </c>
      <c r="M21" t="b">
        <v>0</v>
      </c>
      <c r="N21" t="inlineStr">
        <is>
          <t>alt</t>
        </is>
      </c>
      <c r="O21" t="n">
        <v>85</v>
      </c>
      <c r="P21" t="n">
        <v>0.01004</v>
      </c>
      <c r="Q21" t="n">
        <v>100</v>
      </c>
      <c r="R21" t="n">
        <v>0.1201</v>
      </c>
      <c r="S21">
        <f>IMAGE("https://mitra.stanford.edu/kundaje/oak/projects/neuro-variants/variant_position/credible/roussos_2024/variant_figures/roussos_2024.childhood.GLU/rs4654375_count_position.png",4,220,900)</f>
        <v/>
      </c>
      <c r="T21">
        <f>IMAGE("https://mitra.stanford.edu/kundaje/oak/projects/neuro-variants/variant_position/credible/roussos_2024/variant_figures/roussos_2024.childhood.GLU/rs4654375_profile_position.png",4,220,900)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0.0513305626</v>
      </c>
      <c r="G22" t="n">
        <v>0.1621650228968772</v>
      </c>
      <c r="H22" t="n">
        <v>0.0133558789245045</v>
      </c>
      <c r="I22" t="n">
        <v>0.3472817958175121</v>
      </c>
      <c r="J22" t="n">
        <v>0.0791937527687061</v>
      </c>
      <c r="K22" t="n">
        <v>0.2872050650125529</v>
      </c>
      <c r="L22" t="b">
        <v>0</v>
      </c>
      <c r="M22" t="b">
        <v>0</v>
      </c>
      <c r="N22" t="inlineStr">
        <is>
          <t>alt</t>
        </is>
      </c>
      <c r="O22" t="n">
        <v>-10</v>
      </c>
      <c r="P22" t="n">
        <v>0.002068</v>
      </c>
      <c r="Q22" t="n">
        <v>100</v>
      </c>
      <c r="R22" t="n">
        <v>0.10034</v>
      </c>
      <c r="S22">
        <f>IMAGE("https://mitra.stanford.edu/kundaje/oak/projects/neuro-variants/variant_position/credible/roussos_2024/variant_figures/roussos_2024.childhood.GLU/rs2236859_count_position.png",4,220,900)</f>
        <v/>
      </c>
      <c r="T22">
        <f>IMAGE("https://mitra.stanford.edu/kundaje/oak/projects/neuro-variants/variant_position/credible/roussos_2024/variant_figures/roussos_2024.childhood.GLU/rs2236859_profile_position.png",4,220,900)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-0.0535136258</v>
      </c>
      <c r="G23" t="n">
        <v>0.1686472362989262</v>
      </c>
      <c r="H23" t="n">
        <v>0.0217274592641071</v>
      </c>
      <c r="I23" t="n">
        <v>0.07360180582710581</v>
      </c>
      <c r="J23" t="n">
        <v>0.1713764719214562</v>
      </c>
      <c r="K23" t="n">
        <v>0.1689112589444714</v>
      </c>
      <c r="L23" t="b">
        <v>0</v>
      </c>
      <c r="M23" t="b">
        <v>0</v>
      </c>
      <c r="N23" t="inlineStr">
        <is>
          <t>ref</t>
        </is>
      </c>
      <c r="O23" t="n">
        <v>80</v>
      </c>
      <c r="P23" t="n">
        <v>0.007477</v>
      </c>
      <c r="Q23" t="n">
        <v>75</v>
      </c>
      <c r="R23" t="n">
        <v>0.08704000000000001</v>
      </c>
      <c r="S23">
        <f>IMAGE("https://mitra.stanford.edu/kundaje/oak/projects/neuro-variants/variant_position/credible/roussos_2024/variant_figures/roussos_2024.childhood.GLU/rs2236855_count_position.png",4,220,900)</f>
        <v/>
      </c>
      <c r="T23">
        <f>IMAGE("https://mitra.stanford.edu/kundaje/oak/projects/neuro-variants/variant_position/credible/roussos_2024/variant_figures/roussos_2024.childhood.GLU/rs2236855_profile_position.png",4,220,900)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0.0508407908</v>
      </c>
      <c r="G24" t="n">
        <v>0.1654285699451854</v>
      </c>
      <c r="H24" t="n">
        <v>0.0112725966774387</v>
      </c>
      <c r="I24" t="n">
        <v>0.520301802252383</v>
      </c>
      <c r="J24" t="n">
        <v>0.228796604407265</v>
      </c>
      <c r="K24" t="n">
        <v>0.1301754169670368</v>
      </c>
      <c r="L24" t="b">
        <v>0</v>
      </c>
      <c r="M24" t="b">
        <v>0</v>
      </c>
      <c r="N24" t="inlineStr">
        <is>
          <t>alt</t>
        </is>
      </c>
      <c r="O24" t="n">
        <v>-100</v>
      </c>
      <c r="P24" t="n">
        <v>0.001381</v>
      </c>
      <c r="Q24" t="n">
        <v>-5</v>
      </c>
      <c r="R24" t="n">
        <v>0.004517</v>
      </c>
      <c r="S24">
        <f>IMAGE("https://mitra.stanford.edu/kundaje/oak/projects/neuro-variants/variant_position/credible/roussos_2024/variant_figures/roussos_2024.childhood.GLU/rs760588_count_position.png",4,220,900)</f>
        <v/>
      </c>
      <c r="T24">
        <f>IMAGE("https://mitra.stanford.edu/kundaje/oak/projects/neuro-variants/variant_position/credible/roussos_2024/variant_figures/roussos_2024.childhood.GLU/rs760588_profile_position.png",4,220,900)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-0.061425825</v>
      </c>
      <c r="G25" t="n">
        <v>0.1275735329515406</v>
      </c>
      <c r="H25" t="n">
        <v>0.0145329211376906</v>
      </c>
      <c r="I25" t="n">
        <v>0.2696969361295381</v>
      </c>
      <c r="J25" t="n">
        <v>0.1834001256863815</v>
      </c>
      <c r="K25" t="n">
        <v>0.1597626372859597</v>
      </c>
      <c r="L25" t="b">
        <v>0</v>
      </c>
      <c r="M25" t="b">
        <v>0</v>
      </c>
      <c r="N25" t="inlineStr">
        <is>
          <t>ref</t>
        </is>
      </c>
      <c r="O25" t="n">
        <v>85</v>
      </c>
      <c r="P25" t="n">
        <v>0.05554</v>
      </c>
      <c r="Q25" t="n">
        <v>-100</v>
      </c>
      <c r="R25" t="n">
        <v>0.1465</v>
      </c>
      <c r="S25">
        <f>IMAGE("https://mitra.stanford.edu/kundaje/oak/projects/neuro-variants/variant_position/credible/roussos_2024/variant_figures/roussos_2024.childhood.GLU/rs4233254_count_position.png",4,220,900)</f>
        <v/>
      </c>
      <c r="T25">
        <f>IMAGE("https://mitra.stanford.edu/kundaje/oak/projects/neuro-variants/variant_position/credible/roussos_2024/variant_figures/roussos_2024.childhood.GLU/rs4233254_profile_position.png",4,220,900)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0.0447531966</v>
      </c>
      <c r="G26" t="n">
        <v>0.2091769093102101</v>
      </c>
      <c r="H26" t="n">
        <v>0.0283822377621741</v>
      </c>
      <c r="I26" t="n">
        <v>0.0264682329811803</v>
      </c>
      <c r="J26" t="n">
        <v>0.010429909237949</v>
      </c>
      <c r="K26" t="n">
        <v>0.5890696196106274</v>
      </c>
      <c r="L26" t="b">
        <v>0</v>
      </c>
      <c r="M26" t="b">
        <v>0</v>
      </c>
      <c r="N26" t="inlineStr">
        <is>
          <t>alt</t>
        </is>
      </c>
      <c r="O26" t="n">
        <v>-60</v>
      </c>
      <c r="P26" t="n">
        <v>0.006763</v>
      </c>
      <c r="Q26" t="n">
        <v>70</v>
      </c>
      <c r="R26" t="n">
        <v>0.1699</v>
      </c>
      <c r="S26">
        <f>IMAGE("https://mitra.stanford.edu/kundaje/oak/projects/neuro-variants/variant_position/credible/roussos_2024/variant_figures/roussos_2024.childhood.GLU/rs150082_count_position.png",4,220,900)</f>
        <v/>
      </c>
      <c r="T26">
        <f>IMAGE("https://mitra.stanford.edu/kundaje/oak/projects/neuro-variants/variant_position/credible/roussos_2024/variant_figures/roussos_2024.childhood.GLU/rs150082_profile_position.png",4,220,900)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-0.132006774</v>
      </c>
      <c r="G27" t="n">
        <v>0.0250115039063604</v>
      </c>
      <c r="H27" t="n">
        <v>0.018582640324675</v>
      </c>
      <c r="I27" t="n">
        <v>0.1269270432228376</v>
      </c>
      <c r="J27" t="n">
        <v>0.2031297969443785</v>
      </c>
      <c r="K27" t="n">
        <v>0.1450622556534735</v>
      </c>
      <c r="L27" t="b">
        <v>0</v>
      </c>
      <c r="M27" t="b">
        <v>0</v>
      </c>
      <c r="N27" t="inlineStr">
        <is>
          <t>ref</t>
        </is>
      </c>
      <c r="O27" t="n">
        <v>90</v>
      </c>
      <c r="P27" t="n">
        <v>0.006447</v>
      </c>
      <c r="Q27" t="n">
        <v>-60</v>
      </c>
      <c r="R27" t="n">
        <v>0.05725</v>
      </c>
      <c r="S27">
        <f>IMAGE("https://mitra.stanford.edu/kundaje/oak/projects/neuro-variants/variant_position/credible/roussos_2024/variant_figures/roussos_2024.childhood.GLU/rs3102739_count_position.png",4,220,900)</f>
        <v/>
      </c>
      <c r="T27">
        <f>IMAGE("https://mitra.stanford.edu/kundaje/oak/projects/neuro-variants/variant_position/credible/roussos_2024/variant_figures/roussos_2024.childhood.GLU/rs3102739_profile_position.png",4,220,900)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0.0497473372</v>
      </c>
      <c r="G28" t="n">
        <v>0.1751325263120518</v>
      </c>
      <c r="H28" t="n">
        <v>0.0198860559856127</v>
      </c>
      <c r="I28" t="n">
        <v>0.1002563247999055</v>
      </c>
      <c r="J28" t="n">
        <v>0.3557501519568957</v>
      </c>
      <c r="K28" t="n">
        <v>0.0770117641989088</v>
      </c>
      <c r="L28" t="b">
        <v>0</v>
      </c>
      <c r="M28" t="b">
        <v>0</v>
      </c>
      <c r="N28" t="inlineStr">
        <is>
          <t>alt</t>
        </is>
      </c>
      <c r="O28" t="n">
        <v>-50</v>
      </c>
      <c r="P28" t="n">
        <v>0.00204</v>
      </c>
      <c r="Q28" t="n">
        <v>100</v>
      </c>
      <c r="R28" t="n">
        <v>0.2214</v>
      </c>
      <c r="S28">
        <f>IMAGE("https://mitra.stanford.edu/kundaje/oak/projects/neuro-variants/variant_position/credible/roussos_2024/variant_figures/roussos_2024.childhood.GLU/rs2985339_count_position.png",4,220,900)</f>
        <v/>
      </c>
      <c r="T28">
        <f>IMAGE("https://mitra.stanford.edu/kundaje/oak/projects/neuro-variants/variant_position/credible/roussos_2024/variant_figures/roussos_2024.childhood.GLU/rs2985339_profile_position.png",4,220,900)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-0.001633740192</v>
      </c>
      <c r="G29" t="n">
        <v>0.7581444490820558</v>
      </c>
      <c r="H29" t="n">
        <v>0.0271788564391415</v>
      </c>
      <c r="I29" t="n">
        <v>0.0312447408224181</v>
      </c>
      <c r="J29" t="n">
        <v>0.0061205146960346</v>
      </c>
      <c r="K29" t="n">
        <v>0.6539147602029949</v>
      </c>
      <c r="L29" t="b">
        <v>0</v>
      </c>
      <c r="M29" t="b">
        <v>0</v>
      </c>
      <c r="N29" t="inlineStr">
        <is>
          <t>ref</t>
        </is>
      </c>
      <c r="O29" t="n">
        <v>100</v>
      </c>
      <c r="P29" t="n">
        <v>0.01735</v>
      </c>
      <c r="Q29" t="n">
        <v>100</v>
      </c>
      <c r="R29" t="n">
        <v>0.129</v>
      </c>
      <c r="S29">
        <f>IMAGE("https://mitra.stanford.edu/kundaje/oak/projects/neuro-variants/variant_position/credible/roussos_2024/variant_figures/roussos_2024.childhood.GLU/rs7513398_count_position.png",4,220,900)</f>
        <v/>
      </c>
      <c r="T29">
        <f>IMAGE("https://mitra.stanford.edu/kundaje/oak/projects/neuro-variants/variant_position/credible/roussos_2024/variant_figures/roussos_2024.childhood.GLU/rs7513398_profile_position.png",4,220,900)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0.1855181659999999</v>
      </c>
      <c r="G30" t="n">
        <v>0.009347134505539201</v>
      </c>
      <c r="H30" t="n">
        <v>0.0390256517874425</v>
      </c>
      <c r="I30" t="n">
        <v>0.0085155926346532</v>
      </c>
      <c r="J30" t="n">
        <v>0.0370898451584987</v>
      </c>
      <c r="K30" t="n">
        <v>0.4057332353954359</v>
      </c>
      <c r="L30" t="b">
        <v>1</v>
      </c>
      <c r="M30" t="b">
        <v>1</v>
      </c>
      <c r="N30" t="inlineStr">
        <is>
          <t>alt</t>
        </is>
      </c>
      <c r="O30" t="n">
        <v>-5</v>
      </c>
      <c r="P30" t="n">
        <v>3.815e-05</v>
      </c>
      <c r="Q30" t="n">
        <v>15</v>
      </c>
      <c r="R30" t="n">
        <v>0.01773</v>
      </c>
      <c r="S30">
        <f>IMAGE("https://mitra.stanford.edu/kundaje/oak/projects/neuro-variants/variant_position/credible/roussos_2024/variant_figures/roussos_2024.childhood.GLU/rs2486201_count_position.png",4,220,900)</f>
        <v/>
      </c>
      <c r="T30">
        <f>IMAGE("https://mitra.stanford.edu/kundaje/oak/projects/neuro-variants/variant_position/credible/roussos_2024/variant_figures/roussos_2024.childhood.GLU/rs2486201_profile_position.png",4,220,900)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-0.0603931472</v>
      </c>
      <c r="G31" t="n">
        <v>0.1375305576017814</v>
      </c>
      <c r="H31" t="n">
        <v>0.0111692395812832</v>
      </c>
      <c r="I31" t="n">
        <v>0.5237630061046431</v>
      </c>
      <c r="J31" t="n">
        <v>0.623662006655197</v>
      </c>
      <c r="K31" t="n">
        <v>0.0233643414041562</v>
      </c>
      <c r="L31" t="b">
        <v>0</v>
      </c>
      <c r="M31" t="b">
        <v>0</v>
      </c>
      <c r="N31" t="inlineStr">
        <is>
          <t>ref</t>
        </is>
      </c>
      <c r="O31" t="n">
        <v>85</v>
      </c>
      <c r="P31" t="n">
        <v>0.005455</v>
      </c>
      <c r="Q31" t="n">
        <v>-25</v>
      </c>
      <c r="R31" t="n">
        <v>0.06152</v>
      </c>
      <c r="S31">
        <f>IMAGE("https://mitra.stanford.edu/kundaje/oak/projects/neuro-variants/variant_position/credible/roussos_2024/variant_figures/roussos_2024.childhood.GLU/rs10914662_count_position.png",4,220,900)</f>
        <v/>
      </c>
      <c r="T31">
        <f>IMAGE("https://mitra.stanford.edu/kundaje/oak/projects/neuro-variants/variant_position/credible/roussos_2024/variant_figures/roussos_2024.childhood.GLU/rs10914662_profile_position.png",4,220,900)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-0.0415558241</v>
      </c>
      <c r="G32" t="n">
        <v>0.228389065161874</v>
      </c>
      <c r="H32" t="n">
        <v>0.0284188667291746</v>
      </c>
      <c r="I32" t="n">
        <v>0.0261855824423605</v>
      </c>
      <c r="J32" t="n">
        <v>0.5492474270349346</v>
      </c>
      <c r="K32" t="n">
        <v>0.0337984262351449</v>
      </c>
      <c r="L32" t="b">
        <v>0</v>
      </c>
      <c r="M32" t="b">
        <v>0</v>
      </c>
      <c r="N32" t="inlineStr">
        <is>
          <t>ref</t>
        </is>
      </c>
      <c r="O32" t="n">
        <v>-75</v>
      </c>
      <c r="P32" t="n">
        <v>0.001831</v>
      </c>
      <c r="Q32" t="n">
        <v>-80</v>
      </c>
      <c r="R32" t="n">
        <v>0.01855</v>
      </c>
      <c r="S32">
        <f>IMAGE("https://mitra.stanford.edu/kundaje/oak/projects/neuro-variants/variant_position/credible/roussos_2024/variant_figures/roussos_2024.childhood.GLU/rs56335113_count_position.png",4,220,900)</f>
        <v/>
      </c>
      <c r="T32">
        <f>IMAGE("https://mitra.stanford.edu/kundaje/oak/projects/neuro-variants/variant_position/credible/roussos_2024/variant_figures/roussos_2024.childhood.GLU/rs56335113_profile_position.png",4,220,900)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-0.0368872988</v>
      </c>
      <c r="G33" t="n">
        <v>0.2776976654455206</v>
      </c>
      <c r="H33" t="n">
        <v>0.0105492803241546</v>
      </c>
      <c r="I33" t="n">
        <v>0.5917762291588088</v>
      </c>
      <c r="J33" t="n">
        <v>0.1754499469438634</v>
      </c>
      <c r="K33" t="n">
        <v>0.1668109895528453</v>
      </c>
      <c r="L33" t="b">
        <v>0</v>
      </c>
      <c r="M33" t="b">
        <v>0</v>
      </c>
      <c r="N33" t="inlineStr">
        <is>
          <t>ref</t>
        </is>
      </c>
      <c r="O33" t="n">
        <v>100</v>
      </c>
      <c r="P33" t="n">
        <v>0.02243</v>
      </c>
      <c r="Q33" t="n">
        <v>100</v>
      </c>
      <c r="R33" t="n">
        <v>0.2708</v>
      </c>
      <c r="S33">
        <f>IMAGE("https://mitra.stanford.edu/kundaje/oak/projects/neuro-variants/variant_position/credible/roussos_2024/variant_figures/roussos_2024.childhood.GLU/rs1009080_count_position.png",4,220,900)</f>
        <v/>
      </c>
      <c r="T33">
        <f>IMAGE("https://mitra.stanford.edu/kundaje/oak/projects/neuro-variants/variant_position/credible/roussos_2024/variant_figures/roussos_2024.childhood.GLU/rs1009080_profile_position.png",4,220,900)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-0.0318890715</v>
      </c>
      <c r="G34" t="n">
        <v>0.3322688211494208</v>
      </c>
      <c r="H34" t="n">
        <v>0.0114231535599799</v>
      </c>
      <c r="I34" t="n">
        <v>0.5061556661492171</v>
      </c>
      <c r="J34" t="n">
        <v>0.7358721295599946</v>
      </c>
      <c r="K34" t="n">
        <v>0.0118450046619112</v>
      </c>
      <c r="L34" t="b">
        <v>0</v>
      </c>
      <c r="M34" t="b">
        <v>0</v>
      </c>
      <c r="N34" t="inlineStr">
        <is>
          <t>ref</t>
        </is>
      </c>
      <c r="O34" t="n">
        <v>15</v>
      </c>
      <c r="P34" t="n">
        <v>0.0005493</v>
      </c>
      <c r="Q34" t="n">
        <v>90</v>
      </c>
      <c r="R34" t="n">
        <v>0.0249</v>
      </c>
      <c r="S34">
        <f>IMAGE("https://mitra.stanford.edu/kundaje/oak/projects/neuro-variants/variant_position/credible/roussos_2024/variant_figures/roussos_2024.childhood.GLU/rs6679167_count_position.png",4,220,900)</f>
        <v/>
      </c>
      <c r="T34">
        <f>IMAGE("https://mitra.stanford.edu/kundaje/oak/projects/neuro-variants/variant_position/credible/roussos_2024/variant_figures/roussos_2024.childhood.GLU/rs6679167_profile_position.png",4,220,900)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-0.234783942</v>
      </c>
      <c r="G35" t="n">
        <v>0.0048515777924365</v>
      </c>
      <c r="H35" t="n">
        <v>0.0346688829791211</v>
      </c>
      <c r="I35" t="n">
        <v>0.012888411157169</v>
      </c>
      <c r="J35" t="n">
        <v>0.7382210225926422</v>
      </c>
      <c r="K35" t="n">
        <v>0.0116622222833538</v>
      </c>
      <c r="L35" t="b">
        <v>1</v>
      </c>
      <c r="M35" t="b">
        <v>1</v>
      </c>
      <c r="N35" t="inlineStr">
        <is>
          <t>ref</t>
        </is>
      </c>
      <c r="O35" t="n">
        <v>-60</v>
      </c>
      <c r="P35" t="n">
        <v>0.003784</v>
      </c>
      <c r="Q35" t="n">
        <v>40</v>
      </c>
      <c r="R35" t="n">
        <v>0.01953</v>
      </c>
      <c r="S35">
        <f>IMAGE("https://mitra.stanford.edu/kundaje/oak/projects/neuro-variants/variant_position/credible/roussos_2024/variant_figures/roussos_2024.childhood.GLU/rs1498232_count_position.png",4,220,900)</f>
        <v/>
      </c>
      <c r="T35">
        <f>IMAGE("https://mitra.stanford.edu/kundaje/oak/projects/neuro-variants/variant_position/credible/roussos_2024/variant_figures/roussos_2024.childhood.GLU/rs1498232_profile_position.png",4,220,900)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-0.009888238000000001</v>
      </c>
      <c r="G36" t="n">
        <v>0.2104444824426811</v>
      </c>
      <c r="H36" t="n">
        <v>0.0183013066788492</v>
      </c>
      <c r="I36" t="n">
        <v>0.1310498714746725</v>
      </c>
      <c r="J36" t="n">
        <v>0.3476722264003214</v>
      </c>
      <c r="K36" t="n">
        <v>0.0803313578372658</v>
      </c>
      <c r="L36" t="b">
        <v>0</v>
      </c>
      <c r="M36" t="b">
        <v>0</v>
      </c>
      <c r="N36" t="inlineStr">
        <is>
          <t>ref</t>
        </is>
      </c>
      <c r="O36" t="n">
        <v>-50</v>
      </c>
      <c r="P36" t="n">
        <v>0.004562</v>
      </c>
      <c r="Q36" t="n">
        <v>90</v>
      </c>
      <c r="R36" t="n">
        <v>0.07837</v>
      </c>
      <c r="S36">
        <f>IMAGE("https://mitra.stanford.edu/kundaje/oak/projects/neuro-variants/variant_position/credible/roussos_2024/variant_figures/roussos_2024.childhood.GLU/rs10127492_count_position.png",4,220,900)</f>
        <v/>
      </c>
      <c r="T36">
        <f>IMAGE("https://mitra.stanford.edu/kundaje/oak/projects/neuro-variants/variant_position/credible/roussos_2024/variant_figures/roussos_2024.childhood.GLU/rs10127492_profile_position.png",4,220,900)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0.0350051458</v>
      </c>
      <c r="G37" t="n">
        <v>0.2797704508748672</v>
      </c>
      <c r="H37" t="n">
        <v>0.0119517243118875</v>
      </c>
      <c r="I37" t="n">
        <v>0.4571485286666137</v>
      </c>
      <c r="J37" t="n">
        <v>0.0019398971844189</v>
      </c>
      <c r="K37" t="n">
        <v>0.7716788238434491</v>
      </c>
      <c r="L37" t="b">
        <v>0</v>
      </c>
      <c r="M37" t="b">
        <v>0</v>
      </c>
      <c r="N37" t="inlineStr">
        <is>
          <t>alt</t>
        </is>
      </c>
      <c r="O37" t="n">
        <v>-100</v>
      </c>
      <c r="P37" t="n">
        <v>0.01182</v>
      </c>
      <c r="Q37" t="n">
        <v>40</v>
      </c>
      <c r="R37" t="n">
        <v>0.0858</v>
      </c>
      <c r="S37">
        <f>IMAGE("https://mitra.stanford.edu/kundaje/oak/projects/neuro-variants/variant_position/credible/roussos_2024/variant_figures/roussos_2024.childhood.GLU/rs10798981_count_position.png",4,220,900)</f>
        <v/>
      </c>
      <c r="T37">
        <f>IMAGE("https://mitra.stanford.edu/kundaje/oak/projects/neuro-variants/variant_position/credible/roussos_2024/variant_figures/roussos_2024.childhood.GLU/rs10798981_profile_position.png",4,220,900)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0.01422204308</v>
      </c>
      <c r="G38" t="n">
        <v>0.3700655966951587</v>
      </c>
      <c r="H38" t="n">
        <v>0.0178474974899045</v>
      </c>
      <c r="I38" t="n">
        <v>0.1547104499394571</v>
      </c>
      <c r="J38" t="n">
        <v>0.3761072249065078</v>
      </c>
      <c r="K38" t="n">
        <v>0.07067130339998309</v>
      </c>
      <c r="L38" t="b">
        <v>0</v>
      </c>
      <c r="M38" t="b">
        <v>0</v>
      </c>
      <c r="N38" t="inlineStr">
        <is>
          <t>alt</t>
        </is>
      </c>
      <c r="O38" t="n">
        <v>50</v>
      </c>
      <c r="P38" t="n">
        <v>0.001167</v>
      </c>
      <c r="Q38" t="n">
        <v>0</v>
      </c>
      <c r="R38" t="n">
        <v>0</v>
      </c>
      <c r="S38">
        <f>IMAGE("https://mitra.stanford.edu/kundaje/oak/projects/neuro-variants/variant_position/credible/roussos_2024/variant_figures/roussos_2024.childhood.GLU/rs143052415_count_position.png",4,220,900)</f>
        <v/>
      </c>
      <c r="T38">
        <f>IMAGE("https://mitra.stanford.edu/kundaje/oak/projects/neuro-variants/variant_position/credible/roussos_2024/variant_figures/roussos_2024.childhood.GLU/rs143052415_profile_position.png",4,220,900)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-0.1152621784</v>
      </c>
      <c r="G39" t="n">
        <v>0.0333164337865605</v>
      </c>
      <c r="H39" t="n">
        <v>0.0151429633627974</v>
      </c>
      <c r="I39" t="n">
        <v>0.2405100508416214</v>
      </c>
      <c r="J39" t="n">
        <v>0.1862538246777998</v>
      </c>
      <c r="K39" t="n">
        <v>0.1579481401530401</v>
      </c>
      <c r="L39" t="b">
        <v>0</v>
      </c>
      <c r="M39" t="b">
        <v>0</v>
      </c>
      <c r="N39" t="inlineStr">
        <is>
          <t>ref</t>
        </is>
      </c>
      <c r="O39" t="n">
        <v>70</v>
      </c>
      <c r="P39" t="n">
        <v>0.01286</v>
      </c>
      <c r="Q39" t="n">
        <v>70</v>
      </c>
      <c r="R39" t="n">
        <v>0.05994</v>
      </c>
      <c r="S39">
        <f>IMAGE("https://mitra.stanford.edu/kundaje/oak/projects/neuro-variants/variant_position/credible/roussos_2024/variant_figures/roussos_2024.childhood.GLU/rs1966008_count_position.png",4,220,900)</f>
        <v/>
      </c>
      <c r="T39">
        <f>IMAGE("https://mitra.stanford.edu/kundaje/oak/projects/neuro-variants/variant_position/credible/roussos_2024/variant_figures/roussos_2024.childhood.GLU/rs1966008_profile_position.png",4,220,900)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0.06956272099999999</v>
      </c>
      <c r="G40" t="n">
        <v>0.0620693288568023</v>
      </c>
      <c r="H40" t="n">
        <v>0.0164722444698624</v>
      </c>
      <c r="I40" t="n">
        <v>0.1982718776701166</v>
      </c>
      <c r="J40" t="n">
        <v>0.2133691161774856</v>
      </c>
      <c r="K40" t="n">
        <v>0.1401732467461237</v>
      </c>
      <c r="L40" t="b">
        <v>0</v>
      </c>
      <c r="M40" t="b">
        <v>0</v>
      </c>
      <c r="N40" t="inlineStr">
        <is>
          <t>alt</t>
        </is>
      </c>
      <c r="O40" t="n">
        <v>25</v>
      </c>
      <c r="P40" t="n">
        <v>0.00598</v>
      </c>
      <c r="Q40" t="n">
        <v>20</v>
      </c>
      <c r="R40" t="n">
        <v>0.01538</v>
      </c>
      <c r="S40">
        <f>IMAGE("https://mitra.stanford.edu/kundaje/oak/projects/neuro-variants/variant_position/credible/roussos_2024/variant_figures/roussos_2024.childhood.GLU/rs1966007_count_position.png",4,220,900)</f>
        <v/>
      </c>
      <c r="T40">
        <f>IMAGE("https://mitra.stanford.edu/kundaje/oak/projects/neuro-variants/variant_position/credible/roussos_2024/variant_figures/roussos_2024.childhood.GLU/rs1966007_profile_position.png",4,220,900)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0.083876329</v>
      </c>
      <c r="G41" t="n">
        <v>0.0543699630892761</v>
      </c>
      <c r="H41" t="n">
        <v>0.0265323523282486</v>
      </c>
      <c r="I41" t="n">
        <v>0.0397206584282148</v>
      </c>
      <c r="J41" t="n">
        <v>0.1956184903211184</v>
      </c>
      <c r="K41" t="n">
        <v>0.1531449416033713</v>
      </c>
      <c r="L41" t="b">
        <v>0</v>
      </c>
      <c r="M41" t="b">
        <v>0</v>
      </c>
      <c r="N41" t="inlineStr">
        <is>
          <t>alt</t>
        </is>
      </c>
      <c r="O41" t="n">
        <v>-95</v>
      </c>
      <c r="P41" t="n">
        <v>0.007538</v>
      </c>
      <c r="Q41" t="n">
        <v>100</v>
      </c>
      <c r="R41" t="n">
        <v>0.04974</v>
      </c>
      <c r="S41">
        <f>IMAGE("https://mitra.stanford.edu/kundaje/oak/projects/neuro-variants/variant_position/credible/roussos_2024/variant_figures/roussos_2024.childhood.GLU/rs616924_count_position.png",4,220,900)</f>
        <v/>
      </c>
      <c r="T41">
        <f>IMAGE("https://mitra.stanford.edu/kundaje/oak/projects/neuro-variants/variant_position/credible/roussos_2024/variant_figures/roussos_2024.childhood.GLU/rs616924_profile_position.png",4,220,900)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-0.0150369696</v>
      </c>
      <c r="G42" t="n">
        <v>0.4880354519283806</v>
      </c>
      <c r="H42" t="n">
        <v>0.0255991420098517</v>
      </c>
      <c r="I42" t="n">
        <v>0.0394436349173325</v>
      </c>
      <c r="J42" t="n">
        <v>0.3663500468748389</v>
      </c>
      <c r="K42" t="n">
        <v>0.0738602157400038</v>
      </c>
      <c r="L42" t="b">
        <v>0</v>
      </c>
      <c r="M42" t="b">
        <v>0</v>
      </c>
      <c r="N42" t="inlineStr">
        <is>
          <t>ref</t>
        </is>
      </c>
      <c r="O42" t="n">
        <v>90</v>
      </c>
      <c r="P42" t="n">
        <v>0.01923</v>
      </c>
      <c r="Q42" t="n">
        <v>95</v>
      </c>
      <c r="R42" t="n">
        <v>0.0781</v>
      </c>
      <c r="S42">
        <f>IMAGE("https://mitra.stanford.edu/kundaje/oak/projects/neuro-variants/variant_position/credible/roussos_2024/variant_figures/roussos_2024.childhood.GLU/rs28734113_count_position.png",4,220,900)</f>
        <v/>
      </c>
      <c r="T42">
        <f>IMAGE("https://mitra.stanford.edu/kundaje/oak/projects/neuro-variants/variant_position/credible/roussos_2024/variant_figures/roussos_2024.childhood.GLU/rs28734113_profile_position.png",4,220,900)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-0.0003143220799999</v>
      </c>
      <c r="G43" t="n">
        <v>0.8390281515928291</v>
      </c>
      <c r="H43" t="n">
        <v>0.0290031470485802</v>
      </c>
      <c r="I43" t="n">
        <v>0.0239367111191118</v>
      </c>
      <c r="J43" t="n">
        <v>0.0693809430599482</v>
      </c>
      <c r="K43" t="n">
        <v>0.3036233231705188</v>
      </c>
      <c r="L43" t="b">
        <v>0</v>
      </c>
      <c r="M43" t="b">
        <v>0</v>
      </c>
      <c r="N43" t="inlineStr">
        <is>
          <t>ref</t>
        </is>
      </c>
      <c r="O43" t="n">
        <v>-100</v>
      </c>
      <c r="P43" t="n">
        <v>0.04712</v>
      </c>
      <c r="Q43" t="n">
        <v>50</v>
      </c>
      <c r="R43" t="n">
        <v>0.07947</v>
      </c>
      <c r="S43">
        <f>IMAGE("https://mitra.stanford.edu/kundaje/oak/projects/neuro-variants/variant_position/credible/roussos_2024/variant_figures/roussos_2024.childhood.GLU/rs12562583_count_position.png",4,220,900)</f>
        <v/>
      </c>
      <c r="T43">
        <f>IMAGE("https://mitra.stanford.edu/kundaje/oak/projects/neuro-variants/variant_position/credible/roussos_2024/variant_figures/roussos_2024.childhood.GLU/rs12562583_profile_position.png",4,220,900)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0.0533699686</v>
      </c>
      <c r="G44" t="n">
        <v>0.156262196523687</v>
      </c>
      <c r="H44" t="n">
        <v>0.0132971270242512</v>
      </c>
      <c r="I44" t="n">
        <v>0.3479879058235394</v>
      </c>
      <c r="J44" t="n">
        <v>0.0527759176651178</v>
      </c>
      <c r="K44" t="n">
        <v>0.3390288594763072</v>
      </c>
      <c r="L44" t="b">
        <v>0</v>
      </c>
      <c r="M44" t="b">
        <v>0</v>
      </c>
      <c r="N44" t="inlineStr">
        <is>
          <t>alt</t>
        </is>
      </c>
      <c r="O44" t="n">
        <v>65</v>
      </c>
      <c r="P44" t="n">
        <v>0.005676</v>
      </c>
      <c r="Q44" t="n">
        <v>-95</v>
      </c>
      <c r="R44" t="n">
        <v>0.1099</v>
      </c>
      <c r="S44">
        <f>IMAGE("https://mitra.stanford.edu/kundaje/oak/projects/neuro-variants/variant_position/credible/roussos_2024/variant_figures/roussos_2024.childhood.GLU/rs6658453_count_position.png",4,220,900)</f>
        <v/>
      </c>
      <c r="T44">
        <f>IMAGE("https://mitra.stanford.edu/kundaje/oak/projects/neuro-variants/variant_position/credible/roussos_2024/variant_figures/roussos_2024.childhood.GLU/rs6658453_profile_position.png",4,220,900)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0.0555153722</v>
      </c>
      <c r="G45" t="n">
        <v>0.1460979929737622</v>
      </c>
      <c r="H45" t="n">
        <v>0.014824959078023</v>
      </c>
      <c r="I45" t="n">
        <v>0.259416668749919</v>
      </c>
      <c r="J45" t="n">
        <v>0.0681117166493246</v>
      </c>
      <c r="K45" t="n">
        <v>0.3041128408135915</v>
      </c>
      <c r="L45" t="b">
        <v>0</v>
      </c>
      <c r="M45" t="b">
        <v>0</v>
      </c>
      <c r="N45" t="inlineStr">
        <is>
          <t>alt</t>
        </is>
      </c>
      <c r="O45" t="n">
        <v>25</v>
      </c>
      <c r="P45" t="n">
        <v>0.001625</v>
      </c>
      <c r="Q45" t="n">
        <v>-80</v>
      </c>
      <c r="R45" t="n">
        <v>0.07263</v>
      </c>
      <c r="S45">
        <f>IMAGE("https://mitra.stanford.edu/kundaje/oak/projects/neuro-variants/variant_position/credible/roussos_2024/variant_figures/roussos_2024.childhood.GLU/rs11264194_count_position.png",4,220,900)</f>
        <v/>
      </c>
      <c r="T45">
        <f>IMAGE("https://mitra.stanford.edu/kundaje/oak/projects/neuro-variants/variant_position/credible/roussos_2024/variant_figures/roussos_2024.childhood.GLU/rs11264194_profile_position.png",4,220,900)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0.1026073319999999</v>
      </c>
      <c r="G46" t="n">
        <v>0.0496322234687044</v>
      </c>
      <c r="H46" t="n">
        <v>0.0267080565406377</v>
      </c>
      <c r="I46" t="n">
        <v>0.0380175435448156</v>
      </c>
      <c r="J46" t="n">
        <v>0.09025518456323969</v>
      </c>
      <c r="K46" t="n">
        <v>0.2585699329005834</v>
      </c>
      <c r="L46" t="b">
        <v>0</v>
      </c>
      <c r="M46" t="b">
        <v>0</v>
      </c>
      <c r="N46" t="inlineStr">
        <is>
          <t>alt</t>
        </is>
      </c>
      <c r="O46" t="n">
        <v>-100</v>
      </c>
      <c r="P46" t="n">
        <v>0.02072</v>
      </c>
      <c r="Q46" t="n">
        <v>85</v>
      </c>
      <c r="R46" t="n">
        <v>0.09470000000000001</v>
      </c>
      <c r="S46">
        <f>IMAGE("https://mitra.stanford.edu/kundaje/oak/projects/neuro-variants/variant_position/credible/roussos_2024/variant_figures/roussos_2024.childhood.GLU/rs16822339_count_position.png",4,220,900)</f>
        <v/>
      </c>
      <c r="T46">
        <f>IMAGE("https://mitra.stanford.edu/kundaje/oak/projects/neuro-variants/variant_position/credible/roussos_2024/variant_figures/roussos_2024.childhood.GLU/rs16822339_profile_position.png",4,220,900)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0.0240323332</v>
      </c>
      <c r="G47" t="n">
        <v>0.4155951677898428</v>
      </c>
      <c r="H47" t="n">
        <v>0.009772352290918201</v>
      </c>
      <c r="I47" t="n">
        <v>0.688118676190162</v>
      </c>
      <c r="J47" t="n">
        <v>0.0415661347316801</v>
      </c>
      <c r="K47" t="n">
        <v>0.3840628835840735</v>
      </c>
      <c r="L47" t="b">
        <v>0</v>
      </c>
      <c r="M47" t="b">
        <v>0</v>
      </c>
      <c r="N47" t="inlineStr">
        <is>
          <t>alt</t>
        </is>
      </c>
      <c r="O47" t="n">
        <v>100</v>
      </c>
      <c r="P47" t="n">
        <v>0.0216</v>
      </c>
      <c r="Q47" t="n">
        <v>55</v>
      </c>
      <c r="R47" t="n">
        <v>0.064</v>
      </c>
      <c r="S47">
        <f>IMAGE("https://mitra.stanford.edu/kundaje/oak/projects/neuro-variants/variant_position/credible/roussos_2024/variant_figures/roussos_2024.childhood.GLU/rs12037102_count_position.png",4,220,900)</f>
        <v/>
      </c>
      <c r="T47">
        <f>IMAGE("https://mitra.stanford.edu/kundaje/oak/projects/neuro-variants/variant_position/credible/roussos_2024/variant_figures/roussos_2024.childhood.GLU/rs12037102_profile_position.png",4,220,900)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-0.011775285166</v>
      </c>
      <c r="G48" t="n">
        <v>0.6299869889093844</v>
      </c>
      <c r="H48" t="n">
        <v>0.0394833658147136</v>
      </c>
      <c r="I48" t="n">
        <v>0.0068658382170527</v>
      </c>
      <c r="J48" t="n">
        <v>0.0710746185624362</v>
      </c>
      <c r="K48" t="n">
        <v>0.2999777416258186</v>
      </c>
      <c r="L48" t="b">
        <v>1</v>
      </c>
      <c r="M48" t="b">
        <v>1</v>
      </c>
      <c r="N48" t="inlineStr">
        <is>
          <t>ref</t>
        </is>
      </c>
      <c r="O48" t="n">
        <v>50</v>
      </c>
      <c r="P48" t="n">
        <v>0.01001</v>
      </c>
      <c r="Q48" t="n">
        <v>-50</v>
      </c>
      <c r="R48" t="n">
        <v>0.2725</v>
      </c>
      <c r="S48">
        <f>IMAGE("https://mitra.stanford.edu/kundaje/oak/projects/neuro-variants/variant_position/credible/roussos_2024/variant_figures/roussos_2024.childhood.GLU/rs515346_count_position.png",4,220,900)</f>
        <v/>
      </c>
      <c r="T48">
        <f>IMAGE("https://mitra.stanford.edu/kundaje/oak/projects/neuro-variants/variant_position/credible/roussos_2024/variant_figures/roussos_2024.childhood.GLU/rs515346_profile_position.png",4,220,900)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0.0204187604</v>
      </c>
      <c r="G49" t="n">
        <v>0.4376354846245782</v>
      </c>
      <c r="H49" t="n">
        <v>0.0194426186739343</v>
      </c>
      <c r="I49" t="n">
        <v>0.1092092108694366</v>
      </c>
      <c r="J49" t="n">
        <v>0.0550825718318274</v>
      </c>
      <c r="K49" t="n">
        <v>0.3480518424494095</v>
      </c>
      <c r="L49" t="b">
        <v>0</v>
      </c>
      <c r="M49" t="b">
        <v>0</v>
      </c>
      <c r="N49" t="inlineStr">
        <is>
          <t>alt</t>
        </is>
      </c>
      <c r="O49" t="n">
        <v>85</v>
      </c>
      <c r="P49" t="n">
        <v>0.002747</v>
      </c>
      <c r="Q49" t="n">
        <v>95</v>
      </c>
      <c r="R49" t="n">
        <v>0.1572</v>
      </c>
      <c r="S49">
        <f>IMAGE("https://mitra.stanford.edu/kundaje/oak/projects/neuro-variants/variant_position/credible/roussos_2024/variant_figures/roussos_2024.childhood.GLU/rs2765012_count_position.png",4,220,900)</f>
        <v/>
      </c>
      <c r="T49">
        <f>IMAGE("https://mitra.stanford.edu/kundaje/oak/projects/neuro-variants/variant_position/credible/roussos_2024/variant_figures/roussos_2024.childhood.GLU/rs2765012_profile_position.png",4,220,900)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-0.0737024366</v>
      </c>
      <c r="G50" t="n">
        <v>0.09049109193514079</v>
      </c>
      <c r="H50" t="n">
        <v>0.0148140684363214</v>
      </c>
      <c r="I50" t="n">
        <v>0.2588760671670016</v>
      </c>
      <c r="J50" t="n">
        <v>0.0060113117743413</v>
      </c>
      <c r="K50" t="n">
        <v>0.6483619759974315</v>
      </c>
      <c r="L50" t="b">
        <v>0</v>
      </c>
      <c r="M50" t="b">
        <v>0</v>
      </c>
      <c r="N50" t="inlineStr">
        <is>
          <t>ref</t>
        </is>
      </c>
      <c r="O50" t="n">
        <v>-70</v>
      </c>
      <c r="P50" t="n">
        <v>0.0008087</v>
      </c>
      <c r="Q50" t="n">
        <v>20</v>
      </c>
      <c r="R50" t="n">
        <v>0.0105</v>
      </c>
      <c r="S50">
        <f>IMAGE("https://mitra.stanford.edu/kundaje/oak/projects/neuro-variants/variant_position/credible/roussos_2024/variant_figures/roussos_2024.childhood.GLU/rs647690_count_position.png",4,220,900)</f>
        <v/>
      </c>
      <c r="T50">
        <f>IMAGE("https://mitra.stanford.edu/kundaje/oak/projects/neuro-variants/variant_position/credible/roussos_2024/variant_figures/roussos_2024.childhood.GLU/rs647690_profile_position.png",4,220,900)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0.06623445059999999</v>
      </c>
      <c r="G51" t="n">
        <v>0.1112130278824621</v>
      </c>
      <c r="H51" t="n">
        <v>0.0186509175195956</v>
      </c>
      <c r="I51" t="n">
        <v>0.1247524411480605</v>
      </c>
      <c r="J51" t="n">
        <v>0.0183831786291942</v>
      </c>
      <c r="K51" t="n">
        <v>0.5109887179328823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0.04153</v>
      </c>
      <c r="Q51" t="n">
        <v>35</v>
      </c>
      <c r="R51" t="n">
        <v>0.0633</v>
      </c>
      <c r="S51">
        <f>IMAGE("https://mitra.stanford.edu/kundaje/oak/projects/neuro-variants/variant_position/credible/roussos_2024/variant_figures/roussos_2024.childhood.GLU/rs2791962_count_position.png",4,220,900)</f>
        <v/>
      </c>
      <c r="T51">
        <f>IMAGE("https://mitra.stanford.edu/kundaje/oak/projects/neuro-variants/variant_position/credible/roussos_2024/variant_figures/roussos_2024.childhood.GLU/rs2791962_profile_position.png",4,220,900)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0.124974503</v>
      </c>
      <c r="G52" t="n">
        <v>0.0365229187488808</v>
      </c>
      <c r="H52" t="n">
        <v>0.0397129627373773</v>
      </c>
      <c r="I52" t="n">
        <v>0.0072710198154052</v>
      </c>
      <c r="J52" t="n">
        <v>0.0002905209803537</v>
      </c>
      <c r="K52" t="n">
        <v>0.9123522959126844</v>
      </c>
      <c r="L52" t="b">
        <v>0</v>
      </c>
      <c r="M52" t="b">
        <v>0</v>
      </c>
      <c r="N52" t="inlineStr">
        <is>
          <t>alt</t>
        </is>
      </c>
      <c r="O52" t="n">
        <v>-65</v>
      </c>
      <c r="P52" t="n">
        <v>0.007393</v>
      </c>
      <c r="Q52" t="n">
        <v>-75</v>
      </c>
      <c r="R52" t="n">
        <v>0.0723</v>
      </c>
      <c r="S52">
        <f>IMAGE("https://mitra.stanford.edu/kundaje/oak/projects/neuro-variants/variant_position/credible/roussos_2024/variant_figures/roussos_2024.childhood.GLU/rs10796876_count_position.png",4,220,900)</f>
        <v/>
      </c>
      <c r="T52">
        <f>IMAGE("https://mitra.stanford.edu/kundaje/oak/projects/neuro-variants/variant_position/credible/roussos_2024/variant_figures/roussos_2024.childhood.GLU/rs10796876_profile_position.png",4,220,900)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0.007688837568</v>
      </c>
      <c r="G53" t="n">
        <v>0.7270201457707202</v>
      </c>
      <c r="H53" t="n">
        <v>0.0233513201695141</v>
      </c>
      <c r="I53" t="n">
        <v>0.0557248806026975</v>
      </c>
      <c r="J53" t="n">
        <v>0.0070065006644894</v>
      </c>
      <c r="K53" t="n">
        <v>0.6345041619825338</v>
      </c>
      <c r="L53" t="b">
        <v>0</v>
      </c>
      <c r="M53" t="b">
        <v>0</v>
      </c>
      <c r="N53" t="inlineStr">
        <is>
          <t>alt</t>
        </is>
      </c>
      <c r="O53" t="n">
        <v>85</v>
      </c>
      <c r="P53" t="n">
        <v>0.02533</v>
      </c>
      <c r="Q53" t="n">
        <v>80</v>
      </c>
      <c r="R53" t="n">
        <v>0.4143</v>
      </c>
      <c r="S53">
        <f>IMAGE("https://mitra.stanford.edu/kundaje/oak/projects/neuro-variants/variant_position/credible/roussos_2024/variant_figures/roussos_2024.childhood.GLU/rs709309_count_position.png",4,220,900)</f>
        <v/>
      </c>
      <c r="T53">
        <f>IMAGE("https://mitra.stanford.edu/kundaje/oak/projects/neuro-variants/variant_position/credible/roussos_2024/variant_figures/roussos_2024.childhood.GLU/rs709309_profile_position.png",4,220,900)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-0.224976068</v>
      </c>
      <c r="G54" t="n">
        <v>0.0058481329882594</v>
      </c>
      <c r="H54" t="n">
        <v>0.047204707547009</v>
      </c>
      <c r="I54" t="n">
        <v>0.0039278699871022</v>
      </c>
      <c r="J54" t="n">
        <v>0.0406028825450461</v>
      </c>
      <c r="K54" t="n">
        <v>0.3874476528874444</v>
      </c>
      <c r="L54" t="b">
        <v>1</v>
      </c>
      <c r="M54" t="b">
        <v>1</v>
      </c>
      <c r="N54" t="inlineStr">
        <is>
          <t>ref</t>
        </is>
      </c>
      <c r="O54" t="n">
        <v>-85</v>
      </c>
      <c r="P54" t="n">
        <v>0.01166</v>
      </c>
      <c r="Q54" t="n">
        <v>-75</v>
      </c>
      <c r="R54" t="n">
        <v>0.04504</v>
      </c>
      <c r="S54">
        <f>IMAGE("https://mitra.stanford.edu/kundaje/oak/projects/neuro-variants/variant_position/credible/roussos_2024/variant_figures/roussos_2024.childhood.GLU/rs274728_count_position.png",4,220,900)</f>
        <v/>
      </c>
      <c r="T54">
        <f>IMAGE("https://mitra.stanford.edu/kundaje/oak/projects/neuro-variants/variant_position/credible/roussos_2024/variant_figures/roussos_2024.childhood.GLU/rs274728_profile_position.png",4,220,900)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-0.01048568618</v>
      </c>
      <c r="G55" t="n">
        <v>0.6608616121575533</v>
      </c>
      <c r="H55" t="n">
        <v>0.0198990790821631</v>
      </c>
      <c r="I55" t="n">
        <v>0.1015183987072444</v>
      </c>
      <c r="J55" t="n">
        <v>0.0143220662016956</v>
      </c>
      <c r="K55" t="n">
        <v>0.543067917239505</v>
      </c>
      <c r="L55" t="b">
        <v>0</v>
      </c>
      <c r="M55" t="b">
        <v>0</v>
      </c>
      <c r="N55" t="inlineStr">
        <is>
          <t>ref</t>
        </is>
      </c>
      <c r="O55" t="n">
        <v>-45</v>
      </c>
      <c r="P55" t="n">
        <v>0.00717</v>
      </c>
      <c r="Q55" t="n">
        <v>25</v>
      </c>
      <c r="R55" t="n">
        <v>0.03021</v>
      </c>
      <c r="S55">
        <f>IMAGE("https://mitra.stanford.edu/kundaje/oak/projects/neuro-variants/variant_position/credible/roussos_2024/variant_figures/roussos_2024.childhood.GLU/rs812106_count_position.png",4,220,900)</f>
        <v/>
      </c>
      <c r="T55">
        <f>IMAGE("https://mitra.stanford.edu/kundaje/oak/projects/neuro-variants/variant_position/credible/roussos_2024/variant_figures/roussos_2024.childhood.GLU/rs812106_profile_position.png",4,220,900)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0.0229839838</v>
      </c>
      <c r="G56" t="n">
        <v>0.2805021933949874</v>
      </c>
      <c r="H56" t="n">
        <v>0.0139983869844716</v>
      </c>
      <c r="I56" t="n">
        <v>0.3031867209772431</v>
      </c>
      <c r="J56" t="n">
        <v>0.2544757744650602</v>
      </c>
      <c r="K56" t="n">
        <v>0.1171554415160145</v>
      </c>
      <c r="L56" t="b">
        <v>0</v>
      </c>
      <c r="M56" t="b">
        <v>0</v>
      </c>
      <c r="N56" t="inlineStr">
        <is>
          <t>alt</t>
        </is>
      </c>
      <c r="O56" t="n">
        <v>-10</v>
      </c>
      <c r="P56" t="n">
        <v>0.001074</v>
      </c>
      <c r="Q56" t="n">
        <v>-100</v>
      </c>
      <c r="R56" t="n">
        <v>0.03119</v>
      </c>
      <c r="S56">
        <f>IMAGE("https://mitra.stanford.edu/kundaje/oak/projects/neuro-variants/variant_position/credible/roussos_2024/variant_figures/roussos_2024.childhood.GLU/rs7542594_count_position.png",4,220,900)</f>
        <v/>
      </c>
      <c r="T56">
        <f>IMAGE("https://mitra.stanford.edu/kundaje/oak/projects/neuro-variants/variant_position/credible/roussos_2024/variant_figures/roussos_2024.childhood.GLU/rs7542594_profile_position.png",4,220,900)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-0.049008604</v>
      </c>
      <c r="G57" t="n">
        <v>0.1811809094827831</v>
      </c>
      <c r="H57" t="n">
        <v>0.0123639656342429</v>
      </c>
      <c r="I57" t="n">
        <v>0.4183953421510457</v>
      </c>
      <c r="J57" t="n">
        <v>0.1270400857139913</v>
      </c>
      <c r="K57" t="n">
        <v>0.2184549761329788</v>
      </c>
      <c r="L57" t="b">
        <v>0</v>
      </c>
      <c r="M57" t="b">
        <v>0</v>
      </c>
      <c r="N57" t="inlineStr">
        <is>
          <t>ref</t>
        </is>
      </c>
      <c r="O57" t="n">
        <v>-55</v>
      </c>
      <c r="P57" t="n">
        <v>0.001232</v>
      </c>
      <c r="Q57" t="n">
        <v>95</v>
      </c>
      <c r="R57" t="n">
        <v>0.1256</v>
      </c>
      <c r="S57">
        <f>IMAGE("https://mitra.stanford.edu/kundaje/oak/projects/neuro-variants/variant_position/credible/roussos_2024/variant_figures/roussos_2024.childhood.GLU/rs839993_count_position.png",4,220,900)</f>
        <v/>
      </c>
      <c r="T57">
        <f>IMAGE("https://mitra.stanford.edu/kundaje/oak/projects/neuro-variants/variant_position/credible/roussos_2024/variant_figures/roussos_2024.childhood.GLU/rs839993_profile_position.png",4,220,900)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0.0011743093999999</v>
      </c>
      <c r="G58" t="n">
        <v>0.8534219037661306</v>
      </c>
      <c r="H58" t="n">
        <v>0.0223791523550801</v>
      </c>
      <c r="I58" t="n">
        <v>0.0646883023783424</v>
      </c>
      <c r="J58" t="n">
        <v>0.0818475898091008</v>
      </c>
      <c r="K58" t="n">
        <v>0.2786759553539865</v>
      </c>
      <c r="L58" t="b">
        <v>0</v>
      </c>
      <c r="M58" t="b">
        <v>0</v>
      </c>
      <c r="N58" t="inlineStr">
        <is>
          <t>alt</t>
        </is>
      </c>
      <c r="O58" t="n">
        <v>70</v>
      </c>
      <c r="P58" t="n">
        <v>0.02654</v>
      </c>
      <c r="Q58" t="n">
        <v>0</v>
      </c>
      <c r="R58" t="n">
        <v>0</v>
      </c>
      <c r="S58">
        <f>IMAGE("https://mitra.stanford.edu/kundaje/oak/projects/neuro-variants/variant_position/credible/roussos_2024/variant_figures/roussos_2024.childhood.GLU/rs839996_count_position.png",4,220,900)</f>
        <v/>
      </c>
      <c r="T58">
        <f>IMAGE("https://mitra.stanford.edu/kundaje/oak/projects/neuro-variants/variant_position/credible/roussos_2024/variant_figures/roussos_2024.childhood.GLU/rs839996_profile_position.png",4,220,900)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0.0382397842</v>
      </c>
      <c r="G59" t="n">
        <v>0.2526864571746158</v>
      </c>
      <c r="H59" t="n">
        <v>0.0101436044179444</v>
      </c>
      <c r="I59" t="n">
        <v>0.640095284094041</v>
      </c>
      <c r="J59" t="n">
        <v>0.0067643998475279</v>
      </c>
      <c r="K59" t="n">
        <v>0.6437035698671159</v>
      </c>
      <c r="L59" t="b">
        <v>0</v>
      </c>
      <c r="M59" t="b">
        <v>0</v>
      </c>
      <c r="N59" t="inlineStr">
        <is>
          <t>alt</t>
        </is>
      </c>
      <c r="O59" t="n">
        <v>100</v>
      </c>
      <c r="P59" t="n">
        <v>0.037</v>
      </c>
      <c r="Q59" t="n">
        <v>55</v>
      </c>
      <c r="R59" t="n">
        <v>0.05713</v>
      </c>
      <c r="S59">
        <f>IMAGE("https://mitra.stanford.edu/kundaje/oak/projects/neuro-variants/variant_position/credible/roussos_2024/variant_figures/roussos_2024.childhood.GLU/rs11587504_count_position.png",4,220,900)</f>
        <v/>
      </c>
      <c r="T59">
        <f>IMAGE("https://mitra.stanford.edu/kundaje/oak/projects/neuro-variants/variant_position/credible/roussos_2024/variant_figures/roussos_2024.childhood.GLU/rs11587504_profile_position.png",4,220,900)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-0.0944007152</v>
      </c>
      <c r="G60" t="n">
        <v>0.0588200496330586</v>
      </c>
      <c r="H60" t="n">
        <v>0.0310442102068763</v>
      </c>
      <c r="I60" t="n">
        <v>0.0209504668356996</v>
      </c>
      <c r="J60" t="n">
        <v>0.008825862548548899</v>
      </c>
      <c r="K60" t="n">
        <v>0.6103091196854481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0.04388</v>
      </c>
      <c r="Q60" t="n">
        <v>-35</v>
      </c>
      <c r="R60" t="n">
        <v>0.02036</v>
      </c>
      <c r="S60">
        <f>IMAGE("https://mitra.stanford.edu/kundaje/oak/projects/neuro-variants/variant_position/credible/roussos_2024/variant_figures/roussos_2024.childhood.GLU/rs685756_count_position.png",4,220,900)</f>
        <v/>
      </c>
      <c r="T60">
        <f>IMAGE("https://mitra.stanford.edu/kundaje/oak/projects/neuro-variants/variant_position/credible/roussos_2024/variant_figures/roussos_2024.childhood.GLU/rs685756_profile_position.png",4,220,900)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0.0321709244</v>
      </c>
      <c r="G61" t="n">
        <v>0.302735025834714</v>
      </c>
      <c r="H61" t="n">
        <v>0.0233858522833266</v>
      </c>
      <c r="I61" t="n">
        <v>0.0559351878515982</v>
      </c>
      <c r="J61" t="n">
        <v>0.0822854317121163</v>
      </c>
      <c r="K61" t="n">
        <v>0.2811990111112549</v>
      </c>
      <c r="L61" t="b">
        <v>0</v>
      </c>
      <c r="M61" t="b">
        <v>0</v>
      </c>
      <c r="N61" t="inlineStr">
        <is>
          <t>alt</t>
        </is>
      </c>
      <c r="O61" t="n">
        <v>-45</v>
      </c>
      <c r="P61" t="n">
        <v>0.002724</v>
      </c>
      <c r="Q61" t="n">
        <v>5</v>
      </c>
      <c r="R61" t="n">
        <v>0.0063</v>
      </c>
      <c r="S61">
        <f>IMAGE("https://mitra.stanford.edu/kundaje/oak/projects/neuro-variants/variant_position/credible/roussos_2024/variant_figures/roussos_2024.childhood.GLU/rs839761_count_position.png",4,220,900)</f>
        <v/>
      </c>
      <c r="T61">
        <f>IMAGE("https://mitra.stanford.edu/kundaje/oak/projects/neuro-variants/variant_position/credible/roussos_2024/variant_figures/roussos_2024.childhood.GLU/rs839761_profile_position.png",4,220,900)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0.07978180859999991</v>
      </c>
      <c r="G62" t="n">
        <v>0.0738931180122287</v>
      </c>
      <c r="H62" t="n">
        <v>0.0186128263512341</v>
      </c>
      <c r="I62" t="n">
        <v>0.127267499344909</v>
      </c>
      <c r="J62" t="n">
        <v>0.0333666436585038</v>
      </c>
      <c r="K62" t="n">
        <v>0.4151195222156766</v>
      </c>
      <c r="L62" t="b">
        <v>0</v>
      </c>
      <c r="M62" t="b">
        <v>0</v>
      </c>
      <c r="N62" t="inlineStr">
        <is>
          <t>alt</t>
        </is>
      </c>
      <c r="O62" t="n">
        <v>50</v>
      </c>
      <c r="P62" t="n">
        <v>0.004616</v>
      </c>
      <c r="Q62" t="n">
        <v>-70</v>
      </c>
      <c r="R62" t="n">
        <v>0.02118</v>
      </c>
      <c r="S62">
        <f>IMAGE("https://mitra.stanford.edu/kundaje/oak/projects/neuro-variants/variant_position/credible/roussos_2024/variant_figures/roussos_2024.childhood.GLU/rs3001721_count_position.png",4,220,900)</f>
        <v/>
      </c>
      <c r="T62">
        <f>IMAGE("https://mitra.stanford.edu/kundaje/oak/projects/neuro-variants/variant_position/credible/roussos_2024/variant_figures/roussos_2024.childhood.GLU/rs3001721_profile_position.png",4,220,900)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-0.00917145778</v>
      </c>
      <c r="G63" t="n">
        <v>0.7120902572912231</v>
      </c>
      <c r="H63" t="n">
        <v>0.0253580044617289</v>
      </c>
      <c r="I63" t="n">
        <v>0.0428628647791565</v>
      </c>
      <c r="J63" t="n">
        <v>0.2693675502487972</v>
      </c>
      <c r="K63" t="n">
        <v>0.1106692776321059</v>
      </c>
      <c r="L63" t="b">
        <v>0</v>
      </c>
      <c r="M63" t="b">
        <v>0</v>
      </c>
      <c r="N63" t="inlineStr">
        <is>
          <t>ref</t>
        </is>
      </c>
      <c r="O63" t="n">
        <v>100</v>
      </c>
      <c r="P63" t="n">
        <v>0.02893</v>
      </c>
      <c r="Q63" t="n">
        <v>100</v>
      </c>
      <c r="R63" t="n">
        <v>0.3926</v>
      </c>
      <c r="S63">
        <f>IMAGE("https://mitra.stanford.edu/kundaje/oak/projects/neuro-variants/variant_position/credible/roussos_2024/variant_figures/roussos_2024.childhood.GLU/rs72671121_count_position.png",4,220,900)</f>
        <v/>
      </c>
      <c r="T63">
        <f>IMAGE("https://mitra.stanford.edu/kundaje/oak/projects/neuro-variants/variant_position/credible/roussos_2024/variant_figures/roussos_2024.childhood.GLU/rs72671121_profile_position.png",4,220,900)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0.009758553519999999</v>
      </c>
      <c r="G64" t="n">
        <v>0.6396798338858898</v>
      </c>
      <c r="H64" t="n">
        <v>0.0126252615561436</v>
      </c>
      <c r="I64" t="n">
        <v>0.3941123632472159</v>
      </c>
      <c r="J64" t="n">
        <v>0.3233467604850257</v>
      </c>
      <c r="K64" t="n">
        <v>0.08776427273779699</v>
      </c>
      <c r="L64" t="b">
        <v>0</v>
      </c>
      <c r="M64" t="b">
        <v>0</v>
      </c>
      <c r="N64" t="inlineStr">
        <is>
          <t>alt</t>
        </is>
      </c>
      <c r="O64" t="n">
        <v>20</v>
      </c>
      <c r="P64" t="n">
        <v>0.002316</v>
      </c>
      <c r="Q64" t="n">
        <v>95</v>
      </c>
      <c r="R64" t="n">
        <v>0.05005</v>
      </c>
      <c r="S64">
        <f>IMAGE("https://mitra.stanford.edu/kundaje/oak/projects/neuro-variants/variant_position/credible/roussos_2024/variant_figures/roussos_2024.childhood.GLU/rs2027130_count_position.png",4,220,900)</f>
        <v/>
      </c>
      <c r="T64">
        <f>IMAGE("https://mitra.stanford.edu/kundaje/oak/projects/neuro-variants/variant_position/credible/roussos_2024/variant_figures/roussos_2024.childhood.GLU/rs2027130_profile_position.png",4,220,900)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-0.0084840573199999</v>
      </c>
      <c r="G65" t="n">
        <v>0.7014905692652023</v>
      </c>
      <c r="H65" t="n">
        <v>0.0111895217809681</v>
      </c>
      <c r="I65" t="n">
        <v>0.5311296200898813</v>
      </c>
      <c r="J65" t="n">
        <v>0.0033925020861878</v>
      </c>
      <c r="K65" t="n">
        <v>0.7165276884934614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0.01094</v>
      </c>
      <c r="Q65" t="n">
        <v>-40</v>
      </c>
      <c r="R65" t="n">
        <v>0.02051</v>
      </c>
      <c r="S65">
        <f>IMAGE("https://mitra.stanford.edu/kundaje/oak/projects/neuro-variants/variant_position/credible/roussos_2024/variant_figures/roussos_2024.childhood.GLU/rs2494994_count_position.png",4,220,900)</f>
        <v/>
      </c>
      <c r="T65">
        <f>IMAGE("https://mitra.stanford.edu/kundaje/oak/projects/neuro-variants/variant_position/credible/roussos_2024/variant_figures/roussos_2024.childhood.GLU/rs2494994_profile_position.png",4,220,900)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0.0694469578</v>
      </c>
      <c r="G66" t="n">
        <v>0.0979711661239113</v>
      </c>
      <c r="H66" t="n">
        <v>0.0203452500758755</v>
      </c>
      <c r="I66" t="n">
        <v>0.0995987346215894</v>
      </c>
      <c r="J66" t="n">
        <v>0.009868441385846799</v>
      </c>
      <c r="K66" t="n">
        <v>0.5941255417696606</v>
      </c>
      <c r="L66" t="b">
        <v>0</v>
      </c>
      <c r="M66" t="b">
        <v>0</v>
      </c>
      <c r="N66" t="inlineStr">
        <is>
          <t>alt</t>
        </is>
      </c>
      <c r="O66" t="n">
        <v>-100</v>
      </c>
      <c r="P66" t="n">
        <v>0.007805</v>
      </c>
      <c r="Q66" t="n">
        <v>-100</v>
      </c>
      <c r="R66" t="n">
        <v>0.05737</v>
      </c>
      <c r="S66">
        <f>IMAGE("https://mitra.stanford.edu/kundaje/oak/projects/neuro-variants/variant_position/credible/roussos_2024/variant_figures/roussos_2024.childhood.GLU/rs2842196_count_position.png",4,220,900)</f>
        <v/>
      </c>
      <c r="T66">
        <f>IMAGE("https://mitra.stanford.edu/kundaje/oak/projects/neuro-variants/variant_position/credible/roussos_2024/variant_figures/roussos_2024.childhood.GLU/rs2842196_profile_position.png",4,220,900)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-0.0261730928</v>
      </c>
      <c r="G67" t="n">
        <v>0.1169342197531661</v>
      </c>
      <c r="H67" t="n">
        <v>0.0257335545319476</v>
      </c>
      <c r="I67" t="n">
        <v>0.0511626058161574</v>
      </c>
      <c r="J67" t="n">
        <v>0.2405967012475918</v>
      </c>
      <c r="K67" t="n">
        <v>0.1240508457796447</v>
      </c>
      <c r="L67" t="b">
        <v>0</v>
      </c>
      <c r="M67" t="b">
        <v>0</v>
      </c>
      <c r="N67" t="inlineStr">
        <is>
          <t>ref</t>
        </is>
      </c>
      <c r="O67" t="n">
        <v>-15</v>
      </c>
      <c r="P67" t="n">
        <v>0.00226</v>
      </c>
      <c r="Q67" t="n">
        <v>-85</v>
      </c>
      <c r="R67" t="n">
        <v>0.03418</v>
      </c>
      <c r="S67">
        <f>IMAGE("https://mitra.stanford.edu/kundaje/oak/projects/neuro-variants/variant_position/credible/roussos_2024/variant_figures/roussos_2024.childhood.GLU/rs7413861_count_position.png",4,220,900)</f>
        <v/>
      </c>
      <c r="T67">
        <f>IMAGE("https://mitra.stanford.edu/kundaje/oak/projects/neuro-variants/variant_position/credible/roussos_2024/variant_figures/roussos_2024.childhood.GLU/rs7413861_profile_position.png",4,220,900)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0.00215808956</v>
      </c>
      <c r="G68" t="n">
        <v>0.7817370690153712</v>
      </c>
      <c r="H68" t="n">
        <v>0.0312929899065644</v>
      </c>
      <c r="I68" t="n">
        <v>0.0182734867018334</v>
      </c>
      <c r="J68" t="n">
        <v>0.008956700011332299</v>
      </c>
      <c r="K68" t="n">
        <v>0.6008796237773816</v>
      </c>
      <c r="L68" t="b">
        <v>0</v>
      </c>
      <c r="M68" t="b">
        <v>0</v>
      </c>
      <c r="N68" t="inlineStr">
        <is>
          <t>alt</t>
        </is>
      </c>
      <c r="O68" t="n">
        <v>-85</v>
      </c>
      <c r="P68" t="n">
        <v>0.0337</v>
      </c>
      <c r="Q68" t="n">
        <v>-55</v>
      </c>
      <c r="R68" t="n">
        <v>0.117</v>
      </c>
      <c r="S68">
        <f>IMAGE("https://mitra.stanford.edu/kundaje/oak/projects/neuro-variants/variant_position/credible/roussos_2024/variant_figures/roussos_2024.childhood.GLU/rs10789433_count_position.png",4,220,900)</f>
        <v/>
      </c>
      <c r="T68">
        <f>IMAGE("https://mitra.stanford.edu/kundaje/oak/projects/neuro-variants/variant_position/credible/roussos_2024/variant_figures/roussos_2024.childhood.GLU/rs10789433_profile_position.png",4,220,900)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-0.0329363706</v>
      </c>
      <c r="G69" t="n">
        <v>0.3206674444068411</v>
      </c>
      <c r="H69" t="n">
        <v>0.0234295681319308</v>
      </c>
      <c r="I69" t="n">
        <v>0.0570469148260564</v>
      </c>
      <c r="J69" t="n">
        <v>0.0042063729176753</v>
      </c>
      <c r="K69" t="n">
        <v>0.6908276849879623</v>
      </c>
      <c r="L69" t="b">
        <v>0</v>
      </c>
      <c r="M69" t="b">
        <v>0</v>
      </c>
      <c r="N69" t="inlineStr">
        <is>
          <t>ref</t>
        </is>
      </c>
      <c r="O69" t="n">
        <v>35</v>
      </c>
      <c r="P69" t="n">
        <v>0.00403</v>
      </c>
      <c r="Q69" t="n">
        <v>65</v>
      </c>
      <c r="R69" t="n">
        <v>0.08276</v>
      </c>
      <c r="S69">
        <f>IMAGE("https://mitra.stanford.edu/kundaje/oak/projects/neuro-variants/variant_position/credible/roussos_2024/variant_figures/roussos_2024.childhood.GLU/rs10732843_count_position.png",4,220,900)</f>
        <v/>
      </c>
      <c r="T69">
        <f>IMAGE("https://mitra.stanford.edu/kundaje/oak/projects/neuro-variants/variant_position/credible/roussos_2024/variant_figures/roussos_2024.childhood.GLU/rs10732843_profile_position.png",4,220,900)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0.0507515476</v>
      </c>
      <c r="G70" t="n">
        <v>0.1691197844260109</v>
      </c>
      <c r="H70" t="n">
        <v>0.0141533242135013</v>
      </c>
      <c r="I70" t="n">
        <v>0.3068341023154575</v>
      </c>
      <c r="J70" t="n">
        <v>0.2922301090999</v>
      </c>
      <c r="K70" t="n">
        <v>0.1001827825162082</v>
      </c>
      <c r="L70" t="b">
        <v>0</v>
      </c>
      <c r="M70" t="b">
        <v>0</v>
      </c>
      <c r="N70" t="inlineStr">
        <is>
          <t>alt</t>
        </is>
      </c>
      <c r="O70" t="n">
        <v>-90</v>
      </c>
      <c r="P70" t="n">
        <v>0.05978</v>
      </c>
      <c r="Q70" t="n">
        <v>-95</v>
      </c>
      <c r="R70" t="n">
        <v>0.02563</v>
      </c>
      <c r="S70">
        <f>IMAGE("https://mitra.stanford.edu/kundaje/oak/projects/neuro-variants/variant_position/credible/roussos_2024/variant_figures/roussos_2024.childhood.GLU/rs2077652_count_position.png",4,220,900)</f>
        <v/>
      </c>
      <c r="T70">
        <f>IMAGE("https://mitra.stanford.edu/kundaje/oak/projects/neuro-variants/variant_position/credible/roussos_2024/variant_figures/roussos_2024.childhood.GLU/rs2077652_profile_position.png",4,220,900)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-0.00484963706</v>
      </c>
      <c r="G71" t="n">
        <v>0.5161355912018082</v>
      </c>
      <c r="H71" t="n">
        <v>0.0122580934141627</v>
      </c>
      <c r="I71" t="n">
        <v>0.4256532756184356</v>
      </c>
      <c r="J71" t="n">
        <v>0.6177320819640044</v>
      </c>
      <c r="K71" t="n">
        <v>0.0244887741707527</v>
      </c>
      <c r="L71" t="b">
        <v>0</v>
      </c>
      <c r="M71" t="b">
        <v>0</v>
      </c>
      <c r="N71" t="inlineStr">
        <is>
          <t>ref</t>
        </is>
      </c>
      <c r="O71" t="n">
        <v>90</v>
      </c>
      <c r="P71" t="n">
        <v>0.01008</v>
      </c>
      <c r="Q71" t="n">
        <v>100</v>
      </c>
      <c r="R71" t="n">
        <v>0.2062</v>
      </c>
      <c r="S71">
        <f>IMAGE("https://mitra.stanford.edu/kundaje/oak/projects/neuro-variants/variant_position/credible/roussos_2024/variant_figures/roussos_2024.childhood.GLU/rs16830935_count_position.png",4,220,900)</f>
        <v/>
      </c>
      <c r="T71">
        <f>IMAGE("https://mitra.stanford.edu/kundaje/oak/projects/neuro-variants/variant_position/credible/roussos_2024/variant_figures/roussos_2024.childhood.GLU/rs16830935_profile_position.png",4,220,900)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0.1825689828</v>
      </c>
      <c r="G72" t="n">
        <v>0.010052863645712</v>
      </c>
      <c r="H72" t="n">
        <v>0.0297376869951688</v>
      </c>
      <c r="I72" t="n">
        <v>0.0229270143023037</v>
      </c>
      <c r="J72" t="n">
        <v>0.5558861405008911</v>
      </c>
      <c r="K72" t="n">
        <v>0.0330192137219713</v>
      </c>
      <c r="L72" t="b">
        <v>1</v>
      </c>
      <c r="M72" t="b">
        <v>0</v>
      </c>
      <c r="N72" t="inlineStr">
        <is>
          <t>alt</t>
        </is>
      </c>
      <c r="O72" t="n">
        <v>35</v>
      </c>
      <c r="P72" t="n">
        <v>0.002106</v>
      </c>
      <c r="Q72" t="n">
        <v>70</v>
      </c>
      <c r="R72" t="n">
        <v>0.05322</v>
      </c>
      <c r="S72">
        <f>IMAGE("https://mitra.stanford.edu/kundaje/oak/projects/neuro-variants/variant_position/credible/roussos_2024/variant_figures/roussos_2024.childhood.GLU/rs10890265_count_position.png",4,220,900)</f>
        <v/>
      </c>
      <c r="T72">
        <f>IMAGE("https://mitra.stanford.edu/kundaje/oak/projects/neuro-variants/variant_position/credible/roussos_2024/variant_figures/roussos_2024.childhood.GLU/rs10890265_profile_position.png",4,220,900)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0.043013722</v>
      </c>
      <c r="G73" t="n">
        <v>0.2129161110345334</v>
      </c>
      <c r="H73" t="n">
        <v>0.0150626141483592</v>
      </c>
      <c r="I73" t="n">
        <v>0.2434853504201398</v>
      </c>
      <c r="J73" t="n">
        <v>0.4231623517776381</v>
      </c>
      <c r="K73" t="n">
        <v>0.0584552149018304</v>
      </c>
      <c r="L73" t="b">
        <v>0</v>
      </c>
      <c r="M73" t="b">
        <v>0</v>
      </c>
      <c r="N73" t="inlineStr">
        <is>
          <t>alt</t>
        </is>
      </c>
      <c r="O73" t="n">
        <v>-85</v>
      </c>
      <c r="P73" t="n">
        <v>0.002735</v>
      </c>
      <c r="Q73" t="n">
        <v>15</v>
      </c>
      <c r="R73" t="n">
        <v>0.02649</v>
      </c>
      <c r="S73">
        <f>IMAGE("https://mitra.stanford.edu/kundaje/oak/projects/neuro-variants/variant_position/credible/roussos_2024/variant_figures/roussos_2024.childhood.GLU/rs603542_count_position.png",4,220,900)</f>
        <v/>
      </c>
      <c r="T73">
        <f>IMAGE("https://mitra.stanford.edu/kundaje/oak/projects/neuro-variants/variant_position/credible/roussos_2024/variant_figures/roussos_2024.childhood.GLU/rs603542_profile_position.png",4,220,900)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-0.0164746334</v>
      </c>
      <c r="G74" t="n">
        <v>0.5389247417756244</v>
      </c>
      <c r="H74" t="n">
        <v>0.009418197691028999</v>
      </c>
      <c r="I74" t="n">
        <v>0.7307849367120809</v>
      </c>
      <c r="J74" t="n">
        <v>0.4008210823451842</v>
      </c>
      <c r="K74" t="n">
        <v>0.0643940777910236</v>
      </c>
      <c r="L74" t="b">
        <v>0</v>
      </c>
      <c r="M74" t="b">
        <v>0</v>
      </c>
      <c r="N74" t="inlineStr">
        <is>
          <t>ref</t>
        </is>
      </c>
      <c r="O74" t="n">
        <v>-100</v>
      </c>
      <c r="P74" t="n">
        <v>0.000538</v>
      </c>
      <c r="Q74" t="n">
        <v>100</v>
      </c>
      <c r="R74" t="n">
        <v>0.02112</v>
      </c>
      <c r="S74">
        <f>IMAGE("https://mitra.stanford.edu/kundaje/oak/projects/neuro-variants/variant_position/credible/roussos_2024/variant_figures/roussos_2024.childhood.GLU/rs16831024_count_position.png",4,220,900)</f>
        <v/>
      </c>
      <c r="T74">
        <f>IMAGE("https://mitra.stanford.edu/kundaje/oak/projects/neuro-variants/variant_position/credible/roussos_2024/variant_figures/roussos_2024.childhood.GLU/rs16831024_profile_position.png",4,220,900)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0.1162380527999999</v>
      </c>
      <c r="G75" t="n">
        <v>0.0373122083669719</v>
      </c>
      <c r="H75" t="n">
        <v>0.0241721563992041</v>
      </c>
      <c r="I75" t="n">
        <v>0.0522029177583025</v>
      </c>
      <c r="J75" t="n">
        <v>0.6490001751367612</v>
      </c>
      <c r="K75" t="n">
        <v>0.0201162785226722</v>
      </c>
      <c r="L75" t="b">
        <v>0</v>
      </c>
      <c r="M75" t="b">
        <v>0</v>
      </c>
      <c r="N75" t="inlineStr">
        <is>
          <t>alt</t>
        </is>
      </c>
      <c r="O75" t="n">
        <v>95</v>
      </c>
      <c r="P75" t="n">
        <v>0.0001984</v>
      </c>
      <c r="Q75" t="n">
        <v>-15</v>
      </c>
      <c r="R75" t="n">
        <v>0.01904</v>
      </c>
      <c r="S75">
        <f>IMAGE("https://mitra.stanford.edu/kundaje/oak/projects/neuro-variants/variant_position/credible/roussos_2024/variant_figures/roussos_2024.childhood.GLU/rs1143702_count_position.png",4,220,900)</f>
        <v/>
      </c>
      <c r="T75">
        <f>IMAGE("https://mitra.stanford.edu/kundaje/oak/projects/neuro-variants/variant_position/credible/roussos_2024/variant_figures/roussos_2024.childhood.GLU/rs1143702_profile_position.png",4,220,900)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-0.0270087614</v>
      </c>
      <c r="G76" t="n">
        <v>0.3661874114181115</v>
      </c>
      <c r="H76" t="n">
        <v>0.0117882796035411</v>
      </c>
      <c r="I76" t="n">
        <v>0.46599894892067</v>
      </c>
      <c r="J76" t="n">
        <v>0.0600719090937187</v>
      </c>
      <c r="K76" t="n">
        <v>0.3228612385445976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0.01767</v>
      </c>
      <c r="Q76" t="n">
        <v>-30</v>
      </c>
      <c r="R76" t="n">
        <v>0.01685</v>
      </c>
      <c r="S76">
        <f>IMAGE("https://mitra.stanford.edu/kundaje/oak/projects/neuro-variants/variant_position/credible/roussos_2024/variant_figures/roussos_2024.childhood.GLU/rs11210894_count_position.png",4,220,900)</f>
        <v/>
      </c>
      <c r="T76">
        <f>IMAGE("https://mitra.stanford.edu/kundaje/oak/projects/neuro-variants/variant_position/credible/roussos_2024/variant_figures/roussos_2024.childhood.GLU/rs11210894_profile_position.png",4,220,900)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-0.0816536548</v>
      </c>
      <c r="G77" t="n">
        <v>0.0736185279472837</v>
      </c>
      <c r="H77" t="n">
        <v>0.009985041099810301</v>
      </c>
      <c r="I77" t="n">
        <v>0.6494227531005714</v>
      </c>
      <c r="J77" t="n">
        <v>0.0160404668940009</v>
      </c>
      <c r="K77" t="n">
        <v>0.5254891989875234</v>
      </c>
      <c r="L77" t="b">
        <v>0</v>
      </c>
      <c r="M77" t="b">
        <v>0</v>
      </c>
      <c r="N77" t="inlineStr">
        <is>
          <t>ref</t>
        </is>
      </c>
      <c r="O77" t="n">
        <v>80</v>
      </c>
      <c r="P77" t="n">
        <v>0.02286</v>
      </c>
      <c r="Q77" t="n">
        <v>-100</v>
      </c>
      <c r="R77" t="n">
        <v>0.0594</v>
      </c>
      <c r="S77">
        <f>IMAGE("https://mitra.stanford.edu/kundaje/oak/projects/neuro-variants/variant_position/credible/roussos_2024/variant_figures/roussos_2024.childhood.GLU/rs12045413_count_position.png",4,220,900)</f>
        <v/>
      </c>
      <c r="T77">
        <f>IMAGE("https://mitra.stanford.edu/kundaje/oak/projects/neuro-variants/variant_position/credible/roussos_2024/variant_figures/roussos_2024.childhood.GLU/rs12045413_profile_position.png",4,220,900)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-0.00305612686</v>
      </c>
      <c r="G78" t="n">
        <v>0.77972209407161</v>
      </c>
      <c r="H78" t="n">
        <v>0.0285668701970336</v>
      </c>
      <c r="I78" t="n">
        <v>0.0263498474760126</v>
      </c>
      <c r="J78" t="n">
        <v>0.0134226874220898</v>
      </c>
      <c r="K78" t="n">
        <v>0.548656977046783</v>
      </c>
      <c r="L78" t="b">
        <v>0</v>
      </c>
      <c r="M78" t="b">
        <v>0</v>
      </c>
      <c r="N78" t="inlineStr">
        <is>
          <t>ref</t>
        </is>
      </c>
      <c r="O78" t="n">
        <v>60</v>
      </c>
      <c r="P78" t="n">
        <v>0.05084</v>
      </c>
      <c r="Q78" t="n">
        <v>95</v>
      </c>
      <c r="R78" t="n">
        <v>0.05978</v>
      </c>
      <c r="S78">
        <f>IMAGE("https://mitra.stanford.edu/kundaje/oak/projects/neuro-variants/variant_position/credible/roussos_2024/variant_figures/roussos_2024.childhood.GLU/rs12041746_count_position.png",4,220,900)</f>
        <v/>
      </c>
      <c r="T78">
        <f>IMAGE("https://mitra.stanford.edu/kundaje/oak/projects/neuro-variants/variant_position/credible/roussos_2024/variant_figures/roussos_2024.childhood.GLU/rs12041746_profile_position.png",4,220,900)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-0.049827961</v>
      </c>
      <c r="G79" t="n">
        <v>0.1775404953503263</v>
      </c>
      <c r="H79" t="n">
        <v>0.0126549653687936</v>
      </c>
      <c r="I79" t="n">
        <v>0.3989278616997226</v>
      </c>
      <c r="J79" t="n">
        <v>0.7265610351612803</v>
      </c>
      <c r="K79" t="n">
        <v>0.0125939567553707</v>
      </c>
      <c r="L79" t="b">
        <v>0</v>
      </c>
      <c r="M79" t="b">
        <v>0</v>
      </c>
      <c r="N79" t="inlineStr">
        <is>
          <t>ref</t>
        </is>
      </c>
      <c r="O79" t="n">
        <v>-85</v>
      </c>
      <c r="P79" t="n">
        <v>0.008970000000000001</v>
      </c>
      <c r="Q79" t="n">
        <v>90</v>
      </c>
      <c r="R79" t="n">
        <v>0.1157</v>
      </c>
      <c r="S79">
        <f>IMAGE("https://mitra.stanford.edu/kundaje/oak/projects/neuro-variants/variant_position/credible/roussos_2024/variant_figures/roussos_2024.childhood.GLU/rs34550543_count_position.png",4,220,900)</f>
        <v/>
      </c>
      <c r="T79">
        <f>IMAGE("https://mitra.stanford.edu/kundaje/oak/projects/neuro-variants/variant_position/credible/roussos_2024/variant_figures/roussos_2024.childhood.GLU/rs34550543_profile_position.png",4,220,900)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0.0452543237999999</v>
      </c>
      <c r="G80" t="n">
        <v>0.1212916162377972</v>
      </c>
      <c r="H80" t="n">
        <v>0.0258787122733078</v>
      </c>
      <c r="I80" t="n">
        <v>0.0383672193704305</v>
      </c>
      <c r="J80" t="n">
        <v>0.4364088722222794</v>
      </c>
      <c r="K80" t="n">
        <v>0.0551936433651779</v>
      </c>
      <c r="L80" t="b">
        <v>0</v>
      </c>
      <c r="M80" t="b">
        <v>0</v>
      </c>
      <c r="N80" t="inlineStr">
        <is>
          <t>alt</t>
        </is>
      </c>
      <c r="O80" t="n">
        <v>-5</v>
      </c>
      <c r="P80" t="n">
        <v>0.0001831</v>
      </c>
      <c r="Q80" t="n">
        <v>60</v>
      </c>
      <c r="R80" t="n">
        <v>0.0547</v>
      </c>
      <c r="S80">
        <f>IMAGE("https://mitra.stanford.edu/kundaje/oak/projects/neuro-variants/variant_position/credible/roussos_2024/variant_figures/roussos_2024.childhood.GLU/rs56352978_count_position.png",4,220,900)</f>
        <v/>
      </c>
      <c r="T80">
        <f>IMAGE("https://mitra.stanford.edu/kundaje/oak/projects/neuro-variants/variant_position/credible/roussos_2024/variant_figures/roussos_2024.childhood.GLU/rs56352978_profile_position.png",4,220,900)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0.0072871308999999</v>
      </c>
      <c r="G81" t="n">
        <v>0.7270937497726186</v>
      </c>
      <c r="H81" t="n">
        <v>0.0163823214963971</v>
      </c>
      <c r="I81" t="n">
        <v>0.1881467016173762</v>
      </c>
      <c r="J81" t="n">
        <v>0.0006500664489476</v>
      </c>
      <c r="K81" t="n">
        <v>0.8523216191937799</v>
      </c>
      <c r="L81" t="b">
        <v>0</v>
      </c>
      <c r="M81" t="b">
        <v>0</v>
      </c>
      <c r="N81" t="inlineStr">
        <is>
          <t>alt</t>
        </is>
      </c>
      <c r="O81" t="n">
        <v>95</v>
      </c>
      <c r="P81" t="n">
        <v>0.02069</v>
      </c>
      <c r="Q81" t="n">
        <v>-50</v>
      </c>
      <c r="R81" t="n">
        <v>0.0699</v>
      </c>
      <c r="S81">
        <f>IMAGE("https://mitra.stanford.edu/kundaje/oak/projects/neuro-variants/variant_position/credible/roussos_2024/variant_figures/roussos_2024.childhood.GLU/rs11590088_count_position.png",4,220,900)</f>
        <v/>
      </c>
      <c r="T81">
        <f>IMAGE("https://mitra.stanford.edu/kundaje/oak/projects/neuro-variants/variant_position/credible/roussos_2024/variant_figures/roussos_2024.childhood.GLU/rs11590088_profile_position.png",4,220,900)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-0.2739994899999999</v>
      </c>
      <c r="G82" t="n">
        <v>0.00299590407145</v>
      </c>
      <c r="H82" t="n">
        <v>0.0282853417628963</v>
      </c>
      <c r="I82" t="n">
        <v>0.0278066678881405</v>
      </c>
      <c r="J82" t="n">
        <v>0.1856233323374576</v>
      </c>
      <c r="K82" t="n">
        <v>0.1595202841657609</v>
      </c>
      <c r="L82" t="b">
        <v>1</v>
      </c>
      <c r="M82" t="b">
        <v>1</v>
      </c>
      <c r="N82" t="inlineStr">
        <is>
          <t>ref</t>
        </is>
      </c>
      <c r="O82" t="n">
        <v>20</v>
      </c>
      <c r="P82" t="n">
        <v>0.003723</v>
      </c>
      <c r="Q82" t="n">
        <v>35</v>
      </c>
      <c r="R82" t="n">
        <v>0.04834</v>
      </c>
      <c r="S82">
        <f>IMAGE("https://mitra.stanford.edu/kundaje/oak/projects/neuro-variants/variant_position/credible/roussos_2024/variant_figures/roussos_2024.childhood.GLU/rs3957_count_position.png",4,220,900)</f>
        <v/>
      </c>
      <c r="T82">
        <f>IMAGE("https://mitra.stanford.edu/kundaje/oak/projects/neuro-variants/variant_position/credible/roussos_2024/variant_figures/roussos_2024.childhood.GLU/rs3957_profile_position.png",4,220,900)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-0.0031685680199999</v>
      </c>
      <c r="G83" t="n">
        <v>0.7875143625353216</v>
      </c>
      <c r="H83" t="n">
        <v>0.0201229999367946</v>
      </c>
      <c r="I83" t="n">
        <v>0.0948162789030367</v>
      </c>
      <c r="J83" t="n">
        <v>2.369497357495338e-05</v>
      </c>
      <c r="K83" t="n">
        <v>0.9799390577636647</v>
      </c>
      <c r="L83" t="b">
        <v>0</v>
      </c>
      <c r="M83" t="b">
        <v>0</v>
      </c>
      <c r="N83" t="inlineStr">
        <is>
          <t>ref</t>
        </is>
      </c>
      <c r="O83" t="n">
        <v>90</v>
      </c>
      <c r="P83" t="n">
        <v>0.01073</v>
      </c>
      <c r="Q83" t="n">
        <v>95</v>
      </c>
      <c r="R83" t="n">
        <v>0.0896</v>
      </c>
      <c r="S83">
        <f>IMAGE("https://mitra.stanford.edu/kundaje/oak/projects/neuro-variants/variant_position/credible/roussos_2024/variant_figures/roussos_2024.childhood.GLU/rs1167295_count_position.png",4,220,900)</f>
        <v/>
      </c>
      <c r="T83">
        <f>IMAGE("https://mitra.stanford.edu/kundaje/oak/projects/neuro-variants/variant_position/credible/roussos_2024/variant_figures/roussos_2024.childhood.GLU/rs1167295_profile_position.png",4,220,900)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0.01424171196</v>
      </c>
      <c r="G84" t="n">
        <v>0.5508245238325932</v>
      </c>
      <c r="H84" t="n">
        <v>0.0194602354592602</v>
      </c>
      <c r="I84" t="n">
        <v>0.1093347840733347</v>
      </c>
      <c r="J84" t="n">
        <v>0.0007087887747637</v>
      </c>
      <c r="K84" t="n">
        <v>0.8489643394669258</v>
      </c>
      <c r="L84" t="b">
        <v>0</v>
      </c>
      <c r="M84" t="b">
        <v>0</v>
      </c>
      <c r="N84" t="inlineStr">
        <is>
          <t>alt</t>
        </is>
      </c>
      <c r="O84" t="n">
        <v>70</v>
      </c>
      <c r="P84" t="n">
        <v>0.000581</v>
      </c>
      <c r="Q84" t="n">
        <v>-100</v>
      </c>
      <c r="R84" t="n">
        <v>0.06884999999999999</v>
      </c>
      <c r="S84">
        <f>IMAGE("https://mitra.stanford.edu/kundaje/oak/projects/neuro-variants/variant_position/credible/roussos_2024/variant_figures/roussos_2024.childhood.GLU/rs1167294_count_position.png",4,220,900)</f>
        <v/>
      </c>
      <c r="T84">
        <f>IMAGE("https://mitra.stanford.edu/kundaje/oak/projects/neuro-variants/variant_position/credible/roussos_2024/variant_figures/roussos_2024.childhood.GLU/rs1167294_profile_position.png",4,220,900)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0.05280824936</v>
      </c>
      <c r="G85" t="n">
        <v>0.1846335783821976</v>
      </c>
      <c r="H85" t="n">
        <v>0.0107686020983686</v>
      </c>
      <c r="I85" t="n">
        <v>0.5586237398646433</v>
      </c>
      <c r="J85" t="n">
        <v>0.1965693799128436</v>
      </c>
      <c r="K85" t="n">
        <v>0.1523181203030551</v>
      </c>
      <c r="L85" t="b">
        <v>0</v>
      </c>
      <c r="M85" t="b">
        <v>0</v>
      </c>
      <c r="N85" t="inlineStr">
        <is>
          <t>alt</t>
        </is>
      </c>
      <c r="O85" t="n">
        <v>-100</v>
      </c>
      <c r="P85" t="n">
        <v>0.002747</v>
      </c>
      <c r="Q85" t="n">
        <v>-55</v>
      </c>
      <c r="R85" t="n">
        <v>0.08790000000000001</v>
      </c>
      <c r="S85">
        <f>IMAGE("https://mitra.stanford.edu/kundaje/oak/projects/neuro-variants/variant_position/credible/roussos_2024/variant_figures/roussos_2024.childhood.GLU/rs1405913_count_position.png",4,220,900)</f>
        <v/>
      </c>
      <c r="T85">
        <f>IMAGE("https://mitra.stanford.edu/kundaje/oak/projects/neuro-variants/variant_position/credible/roussos_2024/variant_figures/roussos_2024.childhood.GLU/rs1405913_profile_position.png",4,220,900)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-0.01413070514</v>
      </c>
      <c r="G86" t="n">
        <v>0.5752177896905988</v>
      </c>
      <c r="H86" t="n">
        <v>0.0093950105733503</v>
      </c>
      <c r="I86" t="n">
        <v>0.7334962679119912</v>
      </c>
      <c r="J86" t="n">
        <v>0.0003008231427776</v>
      </c>
      <c r="K86" t="n">
        <v>0.9003492721964039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0.07153</v>
      </c>
      <c r="Q86" t="n">
        <v>-100</v>
      </c>
      <c r="R86" t="n">
        <v>0.02737</v>
      </c>
      <c r="S86">
        <f>IMAGE("https://mitra.stanford.edu/kundaje/oak/projects/neuro-variants/variant_position/credible/roussos_2024/variant_figures/roussos_2024.childhood.GLU/rs1305494_count_position.png",4,220,900)</f>
        <v/>
      </c>
      <c r="T86">
        <f>IMAGE("https://mitra.stanford.edu/kundaje/oak/projects/neuro-variants/variant_position/credible/roussos_2024/variant_figures/roussos_2024.childhood.GLU/rs1305494_profile_position.png",4,220,900)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-0.08357084919999989</v>
      </c>
      <c r="G87" t="n">
        <v>0.0682534957519238</v>
      </c>
      <c r="H87" t="n">
        <v>0.0161619028014551</v>
      </c>
      <c r="I87" t="n">
        <v>0.1963372916937895</v>
      </c>
      <c r="J87" t="n">
        <v>0.0370414249951064</v>
      </c>
      <c r="K87" t="n">
        <v>0.3967121254720563</v>
      </c>
      <c r="L87" t="b">
        <v>0</v>
      </c>
      <c r="M87" t="b">
        <v>0</v>
      </c>
      <c r="N87" t="inlineStr">
        <is>
          <t>ref</t>
        </is>
      </c>
      <c r="O87" t="n">
        <v>70</v>
      </c>
      <c r="P87" t="n">
        <v>0.003448</v>
      </c>
      <c r="Q87" t="n">
        <v>95</v>
      </c>
      <c r="R87" t="n">
        <v>0.1373</v>
      </c>
      <c r="S87">
        <f>IMAGE("https://mitra.stanford.edu/kundaje/oak/projects/neuro-variants/variant_position/credible/roussos_2024/variant_figures/roussos_2024.childhood.GLU/rs11205633_count_position.png",4,220,900)</f>
        <v/>
      </c>
      <c r="T87">
        <f>IMAGE("https://mitra.stanford.edu/kundaje/oak/projects/neuro-variants/variant_position/credible/roussos_2024/variant_figures/roussos_2024.childhood.GLU/rs11205633_profile_position.png",4,220,900)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0.0792871554</v>
      </c>
      <c r="G88" t="n">
        <v>0.07910881209426809</v>
      </c>
      <c r="H88" t="n">
        <v>0.015280451147226</v>
      </c>
      <c r="I88" t="n">
        <v>0.2447949380659769</v>
      </c>
      <c r="J88" t="n">
        <v>0.0054117259212708</v>
      </c>
      <c r="K88" t="n">
        <v>0.6918014983284326</v>
      </c>
      <c r="L88" t="b">
        <v>0</v>
      </c>
      <c r="M88" t="b">
        <v>0</v>
      </c>
      <c r="N88" t="inlineStr">
        <is>
          <t>alt</t>
        </is>
      </c>
      <c r="O88" t="n">
        <v>60</v>
      </c>
      <c r="P88" t="n">
        <v>0.005188</v>
      </c>
      <c r="Q88" t="n">
        <v>80</v>
      </c>
      <c r="R88" t="n">
        <v>0.1027</v>
      </c>
      <c r="S88">
        <f>IMAGE("https://mitra.stanford.edu/kundaje/oak/projects/neuro-variants/variant_position/credible/roussos_2024/variant_figures/roussos_2024.childhood.GLU/rs6684606_count_position.png",4,220,900)</f>
        <v/>
      </c>
      <c r="T88">
        <f>IMAGE("https://mitra.stanford.edu/kundaje/oak/projects/neuro-variants/variant_position/credible/roussos_2024/variant_figures/roussos_2024.childhood.GLU/rs6684606_profile_position.png",4,220,900)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-0.1039948766</v>
      </c>
      <c r="G89" t="n">
        <v>0.042217518492242</v>
      </c>
      <c r="H89" t="n">
        <v>0.0264585943170112</v>
      </c>
      <c r="I89" t="n">
        <v>0.0369614244806809</v>
      </c>
      <c r="J89" t="n">
        <v>0.0224391399754808</v>
      </c>
      <c r="K89" t="n">
        <v>0.4857539031981863</v>
      </c>
      <c r="L89" t="b">
        <v>0</v>
      </c>
      <c r="M89" t="b">
        <v>0</v>
      </c>
      <c r="N89" t="inlineStr">
        <is>
          <t>ref</t>
        </is>
      </c>
      <c r="O89" t="n">
        <v>-60</v>
      </c>
      <c r="P89" t="n">
        <v>0.006405</v>
      </c>
      <c r="Q89" t="n">
        <v>-25</v>
      </c>
      <c r="R89" t="n">
        <v>0.02612</v>
      </c>
      <c r="S89">
        <f>IMAGE("https://mitra.stanford.edu/kundaje/oak/projects/neuro-variants/variant_position/credible/roussos_2024/variant_figures/roussos_2024.childhood.GLU/rs6588355_count_position.png",4,220,900)</f>
        <v/>
      </c>
      <c r="T89">
        <f>IMAGE("https://mitra.stanford.edu/kundaje/oak/projects/neuro-variants/variant_position/credible/roussos_2024/variant_figures/roussos_2024.childhood.GLU/rs6588355_profile_position.png",4,220,900)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0.0815527118</v>
      </c>
      <c r="G90" t="n">
        <v>0.0689985333449557</v>
      </c>
      <c r="H90" t="n">
        <v>0.0128354498051427</v>
      </c>
      <c r="I90" t="n">
        <v>0.3796392081485019</v>
      </c>
      <c r="J90" t="n">
        <v>0.0517281877466079</v>
      </c>
      <c r="K90" t="n">
        <v>0.3485784932358332</v>
      </c>
      <c r="L90" t="b">
        <v>0</v>
      </c>
      <c r="M90" t="b">
        <v>0</v>
      </c>
      <c r="N90" t="inlineStr">
        <is>
          <t>alt</t>
        </is>
      </c>
      <c r="O90" t="n">
        <v>100</v>
      </c>
      <c r="P90" t="n">
        <v>0.006165</v>
      </c>
      <c r="Q90" t="n">
        <v>-100</v>
      </c>
      <c r="R90" t="n">
        <v>0.03992</v>
      </c>
      <c r="S90">
        <f>IMAGE("https://mitra.stanford.edu/kundaje/oak/projects/neuro-variants/variant_position/credible/roussos_2024/variant_figures/roussos_2024.childhood.GLU/rs6660689_count_position.png",4,220,900)</f>
        <v/>
      </c>
      <c r="T90">
        <f>IMAGE("https://mitra.stanford.edu/kundaje/oak/projects/neuro-variants/variant_position/credible/roussos_2024/variant_figures/roussos_2024.childhood.GLU/rs6660689_profile_position.png",4,220,900)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-0.0264051313999999</v>
      </c>
      <c r="G91" t="n">
        <v>0.3943093457504906</v>
      </c>
      <c r="H91" t="n">
        <v>0.0150998081426096</v>
      </c>
      <c r="I91" t="n">
        <v>0.2420667082688154</v>
      </c>
      <c r="J91" t="n">
        <v>0.0021655145415022</v>
      </c>
      <c r="K91" t="n">
        <v>0.7650801743854495</v>
      </c>
      <c r="L91" t="b">
        <v>0</v>
      </c>
      <c r="M91" t="b">
        <v>0</v>
      </c>
      <c r="N91" t="inlineStr">
        <is>
          <t>ref</t>
        </is>
      </c>
      <c r="O91" t="n">
        <v>-35</v>
      </c>
      <c r="P91" t="n">
        <v>0.010056</v>
      </c>
      <c r="Q91" t="n">
        <v>-100</v>
      </c>
      <c r="R91" t="n">
        <v>0.1669</v>
      </c>
      <c r="S91">
        <f>IMAGE("https://mitra.stanford.edu/kundaje/oak/projects/neuro-variants/variant_position/credible/roussos_2024/variant_figures/roussos_2024.childhood.GLU/rs12137221_count_position.png",4,220,900)</f>
        <v/>
      </c>
      <c r="T91">
        <f>IMAGE("https://mitra.stanford.edu/kundaje/oak/projects/neuro-variants/variant_position/credible/roussos_2024/variant_figures/roussos_2024.childhood.GLU/rs12137221_profile_position.png",4,220,900)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0.189892788</v>
      </c>
      <c r="G92" t="n">
        <v>0.0088604626568648</v>
      </c>
      <c r="H92" t="n">
        <v>0.0313403212721762</v>
      </c>
      <c r="I92" t="n">
        <v>0.0182196286030684</v>
      </c>
      <c r="J92" t="n">
        <v>0.0415970412189518</v>
      </c>
      <c r="K92" t="n">
        <v>0.389369846765788</v>
      </c>
      <c r="L92" t="b">
        <v>1</v>
      </c>
      <c r="M92" t="b">
        <v>1</v>
      </c>
      <c r="N92" t="inlineStr">
        <is>
          <t>alt</t>
        </is>
      </c>
      <c r="O92" t="n">
        <v>-90</v>
      </c>
      <c r="P92" t="n">
        <v>0.00582</v>
      </c>
      <c r="Q92" t="n">
        <v>-100</v>
      </c>
      <c r="R92" t="n">
        <v>0.0771</v>
      </c>
      <c r="S92">
        <f>IMAGE("https://mitra.stanford.edu/kundaje/oak/projects/neuro-variants/variant_position/credible/roussos_2024/variant_figures/roussos_2024.childhood.GLU/rs4926540_count_position.png",4,220,900)</f>
        <v/>
      </c>
      <c r="T92">
        <f>IMAGE("https://mitra.stanford.edu/kundaje/oak/projects/neuro-variants/variant_position/credible/roussos_2024/variant_figures/roussos_2024.childhood.GLU/rs4926540_profile_position.png",4,220,900)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-0.1666131369999999</v>
      </c>
      <c r="G93" t="n">
        <v>0.0175717389043024</v>
      </c>
      <c r="H93" t="n">
        <v>0.0255949921740216</v>
      </c>
      <c r="I93" t="n">
        <v>0.0495284637804823</v>
      </c>
      <c r="J93" t="n">
        <v>0.0004089958482284</v>
      </c>
      <c r="K93" t="n">
        <v>0.879720709605911</v>
      </c>
      <c r="L93" t="b">
        <v>1</v>
      </c>
      <c r="M93" t="b">
        <v>0</v>
      </c>
      <c r="N93" t="inlineStr">
        <is>
          <t>ref</t>
        </is>
      </c>
      <c r="O93" t="n">
        <v>-75</v>
      </c>
      <c r="P93" t="n">
        <v>0.01756</v>
      </c>
      <c r="Q93" t="n">
        <v>5</v>
      </c>
      <c r="R93" t="n">
        <v>0.00415</v>
      </c>
      <c r="S93">
        <f>IMAGE("https://mitra.stanford.edu/kundaje/oak/projects/neuro-variants/variant_position/credible/roussos_2024/variant_figures/roussos_2024.childhood.GLU/rs68007327_count_position.png",4,220,900)</f>
        <v/>
      </c>
      <c r="T93">
        <f>IMAGE("https://mitra.stanford.edu/kundaje/oak/projects/neuro-variants/variant_position/credible/roussos_2024/variant_figures/roussos_2024.childhood.GLU/rs68007327_profile_position.png",4,220,900)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-0.0517123896</v>
      </c>
      <c r="G94" t="n">
        <v>0.1784549920715185</v>
      </c>
      <c r="H94" t="n">
        <v>0.0132911114720061</v>
      </c>
      <c r="I94" t="n">
        <v>0.3558350000854053</v>
      </c>
      <c r="J94" t="n">
        <v>0.028164051634438</v>
      </c>
      <c r="K94" t="n">
        <v>0.4424890834359374</v>
      </c>
      <c r="L94" t="b">
        <v>0</v>
      </c>
      <c r="M94" t="b">
        <v>0</v>
      </c>
      <c r="N94" t="inlineStr">
        <is>
          <t>ref</t>
        </is>
      </c>
      <c r="O94" t="n">
        <v>100</v>
      </c>
      <c r="P94" t="n">
        <v>0.003288</v>
      </c>
      <c r="Q94" t="n">
        <v>5</v>
      </c>
      <c r="R94" t="n">
        <v>0.008670000000000001</v>
      </c>
      <c r="S94">
        <f>IMAGE("https://mitra.stanford.edu/kundaje/oak/projects/neuro-variants/variant_position/credible/roussos_2024/variant_figures/roussos_2024.childhood.GLU/rs987335_count_position.png",4,220,900)</f>
        <v/>
      </c>
      <c r="T94">
        <f>IMAGE("https://mitra.stanford.edu/kundaje/oak/projects/neuro-variants/variant_position/credible/roussos_2024/variant_figures/roussos_2024.childhood.GLU/rs987335_profile_position.png",4,220,900)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0.0012608563</v>
      </c>
      <c r="G95" t="n">
        <v>0.8960276455655973</v>
      </c>
      <c r="H95" t="n">
        <v>0.0234560212719845</v>
      </c>
      <c r="I95" t="n">
        <v>0.0561482845775942</v>
      </c>
      <c r="J95" t="n">
        <v>4.635973090751749e-05</v>
      </c>
      <c r="K95" t="n">
        <v>0.9651808553967228</v>
      </c>
      <c r="L95" t="b">
        <v>0</v>
      </c>
      <c r="M95" t="b">
        <v>0</v>
      </c>
      <c r="N95" t="inlineStr">
        <is>
          <t>alt</t>
        </is>
      </c>
      <c r="O95" t="n">
        <v>100</v>
      </c>
      <c r="P95" t="n">
        <v>0.00544</v>
      </c>
      <c r="Q95" t="n">
        <v>55</v>
      </c>
      <c r="R95" t="n">
        <v>0.05133</v>
      </c>
      <c r="S95">
        <f>IMAGE("https://mitra.stanford.edu/kundaje/oak/projects/neuro-variants/variant_position/credible/roussos_2024/variant_figures/roussos_2024.childhood.GLU/rs11207639_count_position.png",4,220,900)</f>
        <v/>
      </c>
      <c r="T95">
        <f>IMAGE("https://mitra.stanford.edu/kundaje/oak/projects/neuro-variants/variant_position/credible/roussos_2024/variant_figures/roussos_2024.childhood.GLU/rs11207639_profile_position.png",4,220,900)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0.081312464</v>
      </c>
      <c r="G96" t="n">
        <v>0.0706511823667056</v>
      </c>
      <c r="H96" t="n">
        <v>0.0302820564783122</v>
      </c>
      <c r="I96" t="n">
        <v>0.0202451602448089</v>
      </c>
      <c r="J96" t="n">
        <v>0.0363346966528273</v>
      </c>
      <c r="K96" t="n">
        <v>0.3974121805522204</v>
      </c>
      <c r="L96" t="b">
        <v>0</v>
      </c>
      <c r="M96" t="b">
        <v>0</v>
      </c>
      <c r="N96" t="inlineStr">
        <is>
          <t>alt</t>
        </is>
      </c>
      <c r="O96" t="n">
        <v>25</v>
      </c>
      <c r="P96" t="n">
        <v>0.004967</v>
      </c>
      <c r="Q96" t="n">
        <v>45</v>
      </c>
      <c r="R96" t="n">
        <v>0.04547</v>
      </c>
      <c r="S96">
        <f>IMAGE("https://mitra.stanford.edu/kundaje/oak/projects/neuro-variants/variant_position/credible/roussos_2024/variant_figures/roussos_2024.childhood.GLU/rs484743_count_position.png",4,220,900)</f>
        <v/>
      </c>
      <c r="T96">
        <f>IMAGE("https://mitra.stanford.edu/kundaje/oak/projects/neuro-variants/variant_position/credible/roussos_2024/variant_figures/roussos_2024.childhood.GLU/rs484743_profile_position.png",4,220,900)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0.0519160322</v>
      </c>
      <c r="G97" t="n">
        <v>0.1717441935088074</v>
      </c>
      <c r="H97" t="n">
        <v>0.021518013464798</v>
      </c>
      <c r="I97" t="n">
        <v>0.0848531953421951</v>
      </c>
      <c r="J97" t="n">
        <v>0.2410912050439387</v>
      </c>
      <c r="K97" t="n">
        <v>0.1277509944759835</v>
      </c>
      <c r="L97" t="b">
        <v>0</v>
      </c>
      <c r="M97" t="b">
        <v>0</v>
      </c>
      <c r="N97" t="inlineStr">
        <is>
          <t>alt</t>
        </is>
      </c>
      <c r="O97" t="n">
        <v>-95</v>
      </c>
      <c r="P97" t="n">
        <v>0.005737</v>
      </c>
      <c r="Q97" t="n">
        <v>0</v>
      </c>
      <c r="R97" t="n">
        <v>0</v>
      </c>
      <c r="S97">
        <f>IMAGE("https://mitra.stanford.edu/kundaje/oak/projects/neuro-variants/variant_position/credible/roussos_2024/variant_figures/roussos_2024.childhood.GLU/rs10218679_count_position.png",4,220,900)</f>
        <v/>
      </c>
      <c r="T97">
        <f>IMAGE("https://mitra.stanford.edu/kundaje/oak/projects/neuro-variants/variant_position/credible/roussos_2024/variant_figures/roussos_2024.childhood.GLU/rs10218679_profile_position.png",4,220,900)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-0.0445618632</v>
      </c>
      <c r="G98" t="n">
        <v>0.2181318300685294</v>
      </c>
      <c r="H98" t="n">
        <v>0.0302274433757043</v>
      </c>
      <c r="I98" t="n">
        <v>0.021851985834598</v>
      </c>
      <c r="J98" t="n">
        <v>0.056063337694582</v>
      </c>
      <c r="K98" t="n">
        <v>0.3324816527054526</v>
      </c>
      <c r="L98" t="b">
        <v>0</v>
      </c>
      <c r="M98" t="b">
        <v>0</v>
      </c>
      <c r="N98" t="inlineStr">
        <is>
          <t>ref</t>
        </is>
      </c>
      <c r="O98" t="n">
        <v>0</v>
      </c>
      <c r="P98" t="n">
        <v>0</v>
      </c>
      <c r="Q98" t="n">
        <v>95</v>
      </c>
      <c r="R98" t="n">
        <v>0.11255</v>
      </c>
      <c r="S98">
        <f>IMAGE("https://mitra.stanford.edu/kundaje/oak/projects/neuro-variants/variant_position/credible/roussos_2024/variant_figures/roussos_2024.childhood.GLU/rs2987774_count_position.png",4,220,900)</f>
        <v/>
      </c>
      <c r="T98">
        <f>IMAGE("https://mitra.stanford.edu/kundaje/oak/projects/neuro-variants/variant_position/credible/roussos_2024/variant_figures/roussos_2024.childhood.GLU/rs2987774_profile_position.png",4,220,900)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-0.02068260718</v>
      </c>
      <c r="G99" t="n">
        <v>0.4376275634011127</v>
      </c>
      <c r="H99" t="n">
        <v>0.0480079901747685</v>
      </c>
      <c r="I99" t="n">
        <v>0.0032010367274645</v>
      </c>
      <c r="J99" t="n">
        <v>0.0933159570193783</v>
      </c>
      <c r="K99" t="n">
        <v>0.2642635949347424</v>
      </c>
      <c r="L99" t="b">
        <v>1</v>
      </c>
      <c r="M99" t="b">
        <v>1</v>
      </c>
      <c r="N99" t="inlineStr">
        <is>
          <t>ref</t>
        </is>
      </c>
      <c r="O99" t="n">
        <v>30</v>
      </c>
      <c r="P99" t="n">
        <v>0.0047</v>
      </c>
      <c r="Q99" t="n">
        <v>65</v>
      </c>
      <c r="R99" t="n">
        <v>0.1448</v>
      </c>
      <c r="S99">
        <f>IMAGE("https://mitra.stanford.edu/kundaje/oak/projects/neuro-variants/variant_position/credible/roussos_2024/variant_figures/roussos_2024.childhood.GLU/rs494011_count_position.png",4,220,900)</f>
        <v/>
      </c>
      <c r="T99">
        <f>IMAGE("https://mitra.stanford.edu/kundaje/oak/projects/neuro-variants/variant_position/credible/roussos_2024/variant_figures/roussos_2024.childhood.GLU/rs494011_profile_position.png",4,220,900)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0.0714874492</v>
      </c>
      <c r="G100" t="n">
        <v>0.0892882789288203</v>
      </c>
      <c r="H100" t="n">
        <v>0.0123864650726899</v>
      </c>
      <c r="I100" t="n">
        <v>0.4096346906022864</v>
      </c>
      <c r="J100" t="n">
        <v>0.1007695715330647</v>
      </c>
      <c r="K100" t="n">
        <v>0.247134601030463</v>
      </c>
      <c r="L100" t="b">
        <v>0</v>
      </c>
      <c r="M100" t="b">
        <v>0</v>
      </c>
      <c r="N100" t="inlineStr">
        <is>
          <t>alt</t>
        </is>
      </c>
      <c r="O100" t="n">
        <v>100</v>
      </c>
      <c r="P100" t="n">
        <v>0.00686</v>
      </c>
      <c r="Q100" t="n">
        <v>55</v>
      </c>
      <c r="R100" t="n">
        <v>0.105</v>
      </c>
      <c r="S100">
        <f>IMAGE("https://mitra.stanford.edu/kundaje/oak/projects/neuro-variants/variant_position/credible/roussos_2024/variant_figures/roussos_2024.childhood.GLU/rs554774_count_position.png",4,220,900)</f>
        <v/>
      </c>
      <c r="T100">
        <f>IMAGE("https://mitra.stanford.edu/kundaje/oak/projects/neuro-variants/variant_position/credible/roussos_2024/variant_figures/roussos_2024.childhood.GLU/rs554774_profile_position.png",4,220,900)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-0.166067872</v>
      </c>
      <c r="G101" t="n">
        <v>0.0125464778972582</v>
      </c>
      <c r="H101" t="n">
        <v>0.0258454186456535</v>
      </c>
      <c r="I101" t="n">
        <v>0.0380066653486395</v>
      </c>
      <c r="J101" t="n">
        <v>0.2168069477783386</v>
      </c>
      <c r="K101" t="n">
        <v>0.1384114893454866</v>
      </c>
      <c r="L101" t="b">
        <v>1</v>
      </c>
      <c r="M101" t="b">
        <v>0</v>
      </c>
      <c r="N101" t="inlineStr">
        <is>
          <t>ref</t>
        </is>
      </c>
      <c r="O101" t="n">
        <v>-30</v>
      </c>
      <c r="P101" t="n">
        <v>0.003723</v>
      </c>
      <c r="Q101" t="n">
        <v>-50</v>
      </c>
      <c r="R101" t="n">
        <v>0.03662</v>
      </c>
      <c r="S101">
        <f>IMAGE("https://mitra.stanford.edu/kundaje/oak/projects/neuro-variants/variant_position/credible/roussos_2024/variant_figures/roussos_2024.childhood.GLU/rs489543_count_position.png",4,220,900)</f>
        <v/>
      </c>
      <c r="T101">
        <f>IMAGE("https://mitra.stanford.edu/kundaje/oak/projects/neuro-variants/variant_position/credible/roussos_2024/variant_figures/roussos_2024.childhood.GLU/rs489543_profile_position.png",4,220,900)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-0.1043167399999999</v>
      </c>
      <c r="G102" t="n">
        <v>0.0422281211487695</v>
      </c>
      <c r="H102" t="n">
        <v>0.0369073271648718</v>
      </c>
      <c r="I102" t="n">
        <v>0.009776497057111</v>
      </c>
      <c r="J102" t="n">
        <v>0.2019460784818733</v>
      </c>
      <c r="K102" t="n">
        <v>0.1488164508072413</v>
      </c>
      <c r="L102" t="b">
        <v>1</v>
      </c>
      <c r="M102" t="b">
        <v>1</v>
      </c>
      <c r="N102" t="inlineStr">
        <is>
          <t>ref</t>
        </is>
      </c>
      <c r="O102" t="n">
        <v>-100</v>
      </c>
      <c r="P102" t="n">
        <v>0.02386</v>
      </c>
      <c r="Q102" t="n">
        <v>-100</v>
      </c>
      <c r="R102" t="n">
        <v>0.1693</v>
      </c>
      <c r="S102">
        <f>IMAGE("https://mitra.stanford.edu/kundaje/oak/projects/neuro-variants/variant_position/credible/roussos_2024/variant_figures/roussos_2024.childhood.GLU/rs471660_count_position.png",4,220,900)</f>
        <v/>
      </c>
      <c r="T102">
        <f>IMAGE("https://mitra.stanford.edu/kundaje/oak/projects/neuro-variants/variant_position/credible/roussos_2024/variant_figures/roussos_2024.childhood.GLU/rs471660_profile_position.png",4,220,900)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-0.170611258</v>
      </c>
      <c r="G103" t="n">
        <v>0.0129612537217962</v>
      </c>
      <c r="H103" t="n">
        <v>0.0526872777845699</v>
      </c>
      <c r="I103" t="n">
        <v>0.002311474763393</v>
      </c>
      <c r="J103" t="n">
        <v>0.0730330596392182</v>
      </c>
      <c r="K103" t="n">
        <v>0.2938899074854272</v>
      </c>
      <c r="L103" t="b">
        <v>1</v>
      </c>
      <c r="M103" t="b">
        <v>1</v>
      </c>
      <c r="N103" t="inlineStr">
        <is>
          <t>ref</t>
        </is>
      </c>
      <c r="O103" t="n">
        <v>75</v>
      </c>
      <c r="P103" t="n">
        <v>0.012024</v>
      </c>
      <c r="Q103" t="n">
        <v>75</v>
      </c>
      <c r="R103" t="n">
        <v>0.1704</v>
      </c>
      <c r="S103">
        <f>IMAGE("https://mitra.stanford.edu/kundaje/oak/projects/neuro-variants/variant_position/credible/roussos_2024/variant_figures/roussos_2024.childhood.GLU/rs4077431_count_position.png",4,220,900)</f>
        <v/>
      </c>
      <c r="T103">
        <f>IMAGE("https://mitra.stanford.edu/kundaje/oak/projects/neuro-variants/variant_position/credible/roussos_2024/variant_figures/roussos_2024.childhood.GLU/rs4077431_profile_position.png",4,220,900)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-0.0648792418</v>
      </c>
      <c r="G104" t="n">
        <v>0.1175631354500434</v>
      </c>
      <c r="H104" t="n">
        <v>0.0230249575871894</v>
      </c>
      <c r="I104" t="n">
        <v>0.0593907104532772</v>
      </c>
      <c r="J104" t="n">
        <v>0.0042836391358545</v>
      </c>
      <c r="K104" t="n">
        <v>0.6954015997021294</v>
      </c>
      <c r="L104" t="b">
        <v>0</v>
      </c>
      <c r="M104" t="b">
        <v>0</v>
      </c>
      <c r="N104" t="inlineStr">
        <is>
          <t>ref</t>
        </is>
      </c>
      <c r="O104" t="n">
        <v>55</v>
      </c>
      <c r="P104" t="n">
        <v>0.005157</v>
      </c>
      <c r="Q104" t="n">
        <v>-90</v>
      </c>
      <c r="R104" t="n">
        <v>0.12415</v>
      </c>
      <c r="S104">
        <f>IMAGE("https://mitra.stanford.edu/kundaje/oak/projects/neuro-variants/variant_position/credible/roussos_2024/variant_figures/roussos_2024.childhood.GLU/rs4133072_count_position.png",4,220,900)</f>
        <v/>
      </c>
      <c r="T104">
        <f>IMAGE("https://mitra.stanford.edu/kundaje/oak/projects/neuro-variants/variant_position/credible/roussos_2024/variant_figures/roussos_2024.childhood.GLU/rs4133072_profile_position.png",4,220,900)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-0.0106850731</v>
      </c>
      <c r="G105" t="n">
        <v>0.6351203403482895</v>
      </c>
      <c r="H105" t="n">
        <v>0.0080658028682387</v>
      </c>
      <c r="I105" t="n">
        <v>0.8620601161017271</v>
      </c>
      <c r="J105" t="n">
        <v>0.0007324837483387</v>
      </c>
      <c r="K105" t="n">
        <v>0.8452394611188377</v>
      </c>
      <c r="L105" t="b">
        <v>0</v>
      </c>
      <c r="M105" t="b">
        <v>0</v>
      </c>
      <c r="N105" t="inlineStr">
        <is>
          <t>ref</t>
        </is>
      </c>
      <c r="O105" t="n">
        <v>55</v>
      </c>
      <c r="P105" t="n">
        <v>0.002014</v>
      </c>
      <c r="Q105" t="n">
        <v>75</v>
      </c>
      <c r="R105" t="n">
        <v>0.06046</v>
      </c>
      <c r="S105">
        <f>IMAGE("https://mitra.stanford.edu/kundaje/oak/projects/neuro-variants/variant_position/credible/roussos_2024/variant_figures/roussos_2024.childhood.GLU/rs12129719_count_position.png",4,220,900)</f>
        <v/>
      </c>
      <c r="T105">
        <f>IMAGE("https://mitra.stanford.edu/kundaje/oak/projects/neuro-variants/variant_position/credible/roussos_2024/variant_figures/roussos_2024.childhood.GLU/rs12129719_profile_position.png",4,220,900)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-0.01582463136</v>
      </c>
      <c r="G106" t="n">
        <v>0.5604608388079383</v>
      </c>
      <c r="H106" t="n">
        <v>0.0067516533388323</v>
      </c>
      <c r="I106" t="n">
        <v>0.949112631614624</v>
      </c>
      <c r="J106" t="n">
        <v>0.0188055672885738</v>
      </c>
      <c r="K106" t="n">
        <v>0.4969457051460119</v>
      </c>
      <c r="L106" t="b">
        <v>0</v>
      </c>
      <c r="M106" t="b">
        <v>0</v>
      </c>
      <c r="N106" t="inlineStr">
        <is>
          <t>ref</t>
        </is>
      </c>
      <c r="O106" t="n">
        <v>-75</v>
      </c>
      <c r="P106" t="n">
        <v>0.004967</v>
      </c>
      <c r="Q106" t="n">
        <v>70</v>
      </c>
      <c r="R106" t="n">
        <v>0.0803</v>
      </c>
      <c r="S106">
        <f>IMAGE("https://mitra.stanford.edu/kundaje/oak/projects/neuro-variants/variant_position/credible/roussos_2024/variant_figures/roussos_2024.childhood.GLU/rs954299_count_position.png",4,220,900)</f>
        <v/>
      </c>
      <c r="T106">
        <f>IMAGE("https://mitra.stanford.edu/kundaje/oak/projects/neuro-variants/variant_position/credible/roussos_2024/variant_figures/roussos_2024.childhood.GLU/rs954299_profile_position.png",4,220,900)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0.0229823555999999</v>
      </c>
      <c r="G107" t="n">
        <v>0.4365009122928479</v>
      </c>
      <c r="H107" t="n">
        <v>0.0338094463461374</v>
      </c>
      <c r="I107" t="n">
        <v>0.0129269501771761</v>
      </c>
      <c r="J107" t="n">
        <v>0.0360009065902932</v>
      </c>
      <c r="K107" t="n">
        <v>0.4072873169054107</v>
      </c>
      <c r="L107" t="b">
        <v>1</v>
      </c>
      <c r="M107" t="b">
        <v>0</v>
      </c>
      <c r="N107" t="inlineStr">
        <is>
          <t>alt</t>
        </is>
      </c>
      <c r="O107" t="n">
        <v>100</v>
      </c>
      <c r="P107" t="n">
        <v>0.03693</v>
      </c>
      <c r="Q107" t="n">
        <v>80</v>
      </c>
      <c r="R107" t="n">
        <v>0.1349</v>
      </c>
      <c r="S107">
        <f>IMAGE("https://mitra.stanford.edu/kundaje/oak/projects/neuro-variants/variant_position/credible/roussos_2024/variant_figures/roussos_2024.childhood.GLU/rs2422013_count_position.png",4,220,900)</f>
        <v/>
      </c>
      <c r="T107">
        <f>IMAGE("https://mitra.stanford.edu/kundaje/oak/projects/neuro-variants/variant_position/credible/roussos_2024/variant_figures/roussos_2024.childhood.GLU/rs2422013_profile_position.png",4,220,900)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0.01367832558</v>
      </c>
      <c r="G108" t="n">
        <v>0.5682328171879401</v>
      </c>
      <c r="H108" t="n">
        <v>0.0230706407858848</v>
      </c>
      <c r="I108" t="n">
        <v>0.0601373150760975</v>
      </c>
      <c r="J108" t="n">
        <v>0.0444394078317038</v>
      </c>
      <c r="K108" t="n">
        <v>0.3937748046832648</v>
      </c>
      <c r="L108" t="b">
        <v>0</v>
      </c>
      <c r="M108" t="b">
        <v>0</v>
      </c>
      <c r="N108" t="inlineStr">
        <is>
          <t>alt</t>
        </is>
      </c>
      <c r="O108" t="n">
        <v>100</v>
      </c>
      <c r="P108" t="n">
        <v>0.01207</v>
      </c>
      <c r="Q108" t="n">
        <v>-55</v>
      </c>
      <c r="R108" t="n">
        <v>0.2502</v>
      </c>
      <c r="S108">
        <f>IMAGE("https://mitra.stanford.edu/kundaje/oak/projects/neuro-variants/variant_position/credible/roussos_2024/variant_figures/roussos_2024.childhood.GLU/rs2901616_count_position.png",4,220,900)</f>
        <v/>
      </c>
      <c r="T108">
        <f>IMAGE("https://mitra.stanford.edu/kundaje/oak/projects/neuro-variants/variant_position/credible/roussos_2024/variant_figures/roussos_2024.childhood.GLU/rs2901616_profile_position.png",4,220,900)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0.0199321996</v>
      </c>
      <c r="G109" t="n">
        <v>0.3542685854580246</v>
      </c>
      <c r="H109" t="n">
        <v>0.0191232181522425</v>
      </c>
      <c r="I109" t="n">
        <v>0.1165706533090345</v>
      </c>
      <c r="J109" t="n">
        <v>0.0024591261705831</v>
      </c>
      <c r="K109" t="n">
        <v>0.7772526629826808</v>
      </c>
      <c r="L109" t="b">
        <v>0</v>
      </c>
      <c r="M109" t="b">
        <v>0</v>
      </c>
      <c r="N109" t="inlineStr">
        <is>
          <t>alt</t>
        </is>
      </c>
      <c r="O109" t="n">
        <v>-100</v>
      </c>
      <c r="P109" t="n">
        <v>0.007095</v>
      </c>
      <c r="Q109" t="n">
        <v>85</v>
      </c>
      <c r="R109" t="n">
        <v>0.009520000000000001</v>
      </c>
      <c r="S109">
        <f>IMAGE("https://mitra.stanford.edu/kundaje/oak/projects/neuro-variants/variant_position/credible/roussos_2024/variant_figures/roussos_2024.childhood.GLU/rs2422016_count_position.png",4,220,900)</f>
        <v/>
      </c>
      <c r="T109">
        <f>IMAGE("https://mitra.stanford.edu/kundaje/oak/projects/neuro-variants/variant_position/credible/roussos_2024/variant_figures/roussos_2024.childhood.GLU/rs2422016_profile_position.png",4,220,900)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-0.032945232</v>
      </c>
      <c r="G110" t="n">
        <v>0.3151432009593788</v>
      </c>
      <c r="H110" t="n">
        <v>0.0179855112463008</v>
      </c>
      <c r="I110" t="n">
        <v>0.140235410800448</v>
      </c>
      <c r="J110" t="n">
        <v>0.0073001122935703</v>
      </c>
      <c r="K110" t="n">
        <v>0.6514467981822885</v>
      </c>
      <c r="L110" t="b">
        <v>0</v>
      </c>
      <c r="M110" t="b">
        <v>0</v>
      </c>
      <c r="N110" t="inlineStr">
        <is>
          <t>ref</t>
        </is>
      </c>
      <c r="O110" t="n">
        <v>70</v>
      </c>
      <c r="P110" t="n">
        <v>0.009379999999999999</v>
      </c>
      <c r="Q110" t="n">
        <v>-80</v>
      </c>
      <c r="R110" t="n">
        <v>0.07049999999999999</v>
      </c>
      <c r="S110">
        <f>IMAGE("https://mitra.stanford.edu/kundaje/oak/projects/neuro-variants/variant_position/credible/roussos_2024/variant_figures/roussos_2024.childhood.GLU/rs12120761_count_position.png",4,220,900)</f>
        <v/>
      </c>
      <c r="T110">
        <f>IMAGE("https://mitra.stanford.edu/kundaje/oak/projects/neuro-variants/variant_position/credible/roussos_2024/variant_figures/roussos_2024.childhood.GLU/rs12120761_profile_position.png",4,220,900)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-0.1023516182</v>
      </c>
      <c r="G111" t="n">
        <v>0.050564424288748</v>
      </c>
      <c r="H111" t="n">
        <v>0.0355339697236585</v>
      </c>
      <c r="I111" t="n">
        <v>0.015788241058501</v>
      </c>
      <c r="J111" t="n">
        <v>0.02039931181555</v>
      </c>
      <c r="K111" t="n">
        <v>0.5119723315809512</v>
      </c>
      <c r="L111" t="b">
        <v>1</v>
      </c>
      <c r="M111" t="b">
        <v>0</v>
      </c>
      <c r="N111" t="inlineStr">
        <is>
          <t>ref</t>
        </is>
      </c>
      <c r="O111" t="n">
        <v>45</v>
      </c>
      <c r="P111" t="n">
        <v>0.008149999999999999</v>
      </c>
      <c r="Q111" t="n">
        <v>-20</v>
      </c>
      <c r="R111" t="n">
        <v>0.0498</v>
      </c>
      <c r="S111">
        <f>IMAGE("https://mitra.stanford.edu/kundaje/oak/projects/neuro-variants/variant_position/credible/roussos_2024/variant_figures/roussos_2024.childhood.GLU/rs2422021_count_position.png",4,220,900)</f>
        <v/>
      </c>
      <c r="T111">
        <f>IMAGE("https://mitra.stanford.edu/kundaje/oak/projects/neuro-variants/variant_position/credible/roussos_2024/variant_figures/roussos_2024.childhood.GLU/rs2422021_profile_position.png",4,220,900)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0.158063828</v>
      </c>
      <c r="G112" t="n">
        <v>0.0145591460718534</v>
      </c>
      <c r="H112" t="n">
        <v>0.0277712512047696</v>
      </c>
      <c r="I112" t="n">
        <v>0.0312035409584127</v>
      </c>
      <c r="J112" t="n">
        <v>0.029066521062771</v>
      </c>
      <c r="K112" t="n">
        <v>0.4474159243028862</v>
      </c>
      <c r="L112" t="b">
        <v>1</v>
      </c>
      <c r="M112" t="b">
        <v>0</v>
      </c>
      <c r="N112" t="inlineStr">
        <is>
          <t>alt</t>
        </is>
      </c>
      <c r="O112" t="n">
        <v>-75</v>
      </c>
      <c r="P112" t="n">
        <v>0.003778</v>
      </c>
      <c r="Q112" t="n">
        <v>-60</v>
      </c>
      <c r="R112" t="n">
        <v>0.1138</v>
      </c>
      <c r="S112">
        <f>IMAGE("https://mitra.stanford.edu/kundaje/oak/projects/neuro-variants/variant_position/credible/roussos_2024/variant_figures/roussos_2024.childhood.GLU/rs7531932_count_position.png",4,220,900)</f>
        <v/>
      </c>
      <c r="T112">
        <f>IMAGE("https://mitra.stanford.edu/kundaje/oak/projects/neuro-variants/variant_position/credible/roussos_2024/variant_figures/roussos_2024.childhood.GLU/rs7531932_profile_position.png",4,220,900)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0.0895303918</v>
      </c>
      <c r="G113" t="n">
        <v>0.0563285398404284</v>
      </c>
      <c r="H113" t="n">
        <v>0.0117111277227589</v>
      </c>
      <c r="I113" t="n">
        <v>0.4727437721722903</v>
      </c>
      <c r="J113" t="n">
        <v>0.0836288336921919</v>
      </c>
      <c r="K113" t="n">
        <v>0.2728471521619597</v>
      </c>
      <c r="L113" t="b">
        <v>0</v>
      </c>
      <c r="M113" t="b">
        <v>0</v>
      </c>
      <c r="N113" t="inlineStr">
        <is>
          <t>alt</t>
        </is>
      </c>
      <c r="O113" t="n">
        <v>-100</v>
      </c>
      <c r="P113" t="n">
        <v>0.01935</v>
      </c>
      <c r="Q113" t="n">
        <v>-80</v>
      </c>
      <c r="R113" t="n">
        <v>0.0762</v>
      </c>
      <c r="S113">
        <f>IMAGE("https://mitra.stanford.edu/kundaje/oak/projects/neuro-variants/variant_position/credible/roussos_2024/variant_figures/roussos_2024.childhood.GLU/rs10789321_count_position.png",4,220,900)</f>
        <v/>
      </c>
      <c r="T113">
        <f>IMAGE("https://mitra.stanford.edu/kundaje/oak/projects/neuro-variants/variant_position/credible/roussos_2024/variant_figures/roussos_2024.childhood.GLU/rs10789321_profile_position.png",4,220,900)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-0.234376908</v>
      </c>
      <c r="G114" t="n">
        <v>0.0045771842062275</v>
      </c>
      <c r="H114" t="n">
        <v>0.0326672442978445</v>
      </c>
      <c r="I114" t="n">
        <v>0.014891766913911</v>
      </c>
      <c r="J114" t="n">
        <v>0.0041713455654341</v>
      </c>
      <c r="K114" t="n">
        <v>0.7163393480293406</v>
      </c>
      <c r="L114" t="b">
        <v>1</v>
      </c>
      <c r="M114" t="b">
        <v>1</v>
      </c>
      <c r="N114" t="inlineStr">
        <is>
          <t>ref</t>
        </is>
      </c>
      <c r="O114" t="n">
        <v>-25</v>
      </c>
      <c r="P114" t="n">
        <v>0.00769</v>
      </c>
      <c r="Q114" t="n">
        <v>-35</v>
      </c>
      <c r="R114" t="n">
        <v>0.0199</v>
      </c>
      <c r="S114">
        <f>IMAGE("https://mitra.stanford.edu/kundaje/oak/projects/neuro-variants/variant_position/credible/roussos_2024/variant_figures/roussos_2024.childhood.GLU/rs11209830_count_position.png",4,220,900)</f>
        <v/>
      </c>
      <c r="T114">
        <f>IMAGE("https://mitra.stanford.edu/kundaje/oak/projects/neuro-variants/variant_position/credible/roussos_2024/variant_figures/roussos_2024.childhood.GLU/rs11209830_profile_position.png",4,220,900)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0.0322852798</v>
      </c>
      <c r="G115" t="n">
        <v>0.3157568320673145</v>
      </c>
      <c r="H115" t="n">
        <v>0.0214256825301121</v>
      </c>
      <c r="I115" t="n">
        <v>0.0803735602519972</v>
      </c>
      <c r="J115" t="n">
        <v>0.0406605746546199</v>
      </c>
      <c r="K115" t="n">
        <v>0.384027379970512</v>
      </c>
      <c r="L115" t="b">
        <v>0</v>
      </c>
      <c r="M115" t="b">
        <v>0</v>
      </c>
      <c r="N115" t="inlineStr">
        <is>
          <t>alt</t>
        </is>
      </c>
      <c r="O115" t="n">
        <v>-80</v>
      </c>
      <c r="P115" t="n">
        <v>0.01114</v>
      </c>
      <c r="Q115" t="n">
        <v>-85</v>
      </c>
      <c r="R115" t="n">
        <v>0.133</v>
      </c>
      <c r="S115">
        <f>IMAGE("https://mitra.stanford.edu/kundaje/oak/projects/neuro-variants/variant_position/credible/roussos_2024/variant_figures/roussos_2024.childhood.GLU/rs12740031_count_position.png",4,220,900)</f>
        <v/>
      </c>
      <c r="T115">
        <f>IMAGE("https://mitra.stanford.edu/kundaje/oak/projects/neuro-variants/variant_position/credible/roussos_2024/variant_figures/roussos_2024.childhood.GLU/rs12740031_profile_position.png",4,220,900)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-0.0331948778</v>
      </c>
      <c r="G116" t="n">
        <v>0.3191490530898445</v>
      </c>
      <c r="H116" t="n">
        <v>0.023914757189476</v>
      </c>
      <c r="I116" t="n">
        <v>0.0532578334416668</v>
      </c>
      <c r="J116" t="n">
        <v>0.0053766985690295</v>
      </c>
      <c r="K116" t="n">
        <v>0.6942161805942404</v>
      </c>
      <c r="L116" t="b">
        <v>0</v>
      </c>
      <c r="M116" t="b">
        <v>0</v>
      </c>
      <c r="N116" t="inlineStr">
        <is>
          <t>ref</t>
        </is>
      </c>
      <c r="O116" t="n">
        <v>-90</v>
      </c>
      <c r="P116" t="n">
        <v>0.00421</v>
      </c>
      <c r="Q116" t="n">
        <v>100</v>
      </c>
      <c r="R116" t="n">
        <v>0.09863</v>
      </c>
      <c r="S116">
        <f>IMAGE("https://mitra.stanford.edu/kundaje/oak/projects/neuro-variants/variant_position/credible/roussos_2024/variant_figures/roussos_2024.childhood.GLU/rs517762_count_position.png",4,220,900)</f>
        <v/>
      </c>
      <c r="T116">
        <f>IMAGE("https://mitra.stanford.edu/kundaje/oak/projects/neuro-variants/variant_position/credible/roussos_2024/variant_figures/roussos_2024.childhood.GLU/rs517762_profile_position.png",4,220,900)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0.0292522369999999</v>
      </c>
      <c r="G117" t="n">
        <v>0.3303986954537151</v>
      </c>
      <c r="H117" t="n">
        <v>0.0133266375715647</v>
      </c>
      <c r="I117" t="n">
        <v>0.3479504790227889</v>
      </c>
      <c r="J117" t="n">
        <v>0.0345884801219775</v>
      </c>
      <c r="K117" t="n">
        <v>0.4094005174466891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0.02887</v>
      </c>
      <c r="Q117" t="n">
        <v>50</v>
      </c>
      <c r="R117" t="n">
        <v>0.2925</v>
      </c>
      <c r="S117">
        <f>IMAGE("https://mitra.stanford.edu/kundaje/oak/projects/neuro-variants/variant_position/credible/roussos_2024/variant_figures/roussos_2024.childhood.GLU/rs11209863_count_position.png",4,220,900)</f>
        <v/>
      </c>
      <c r="T117">
        <f>IMAGE("https://mitra.stanford.edu/kundaje/oak/projects/neuro-variants/variant_position/credible/roussos_2024/variant_figures/roussos_2024.childhood.GLU/rs11209863_profile_position.png",4,220,900)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0.107539725</v>
      </c>
      <c r="G118" t="n">
        <v>0.0371400503348307</v>
      </c>
      <c r="H118" t="n">
        <v>0.0147986009503794</v>
      </c>
      <c r="I118" t="n">
        <v>0.2555435040402977</v>
      </c>
      <c r="J118" t="n">
        <v>0.0004028145507741</v>
      </c>
      <c r="K118" t="n">
        <v>0.8864603645422171</v>
      </c>
      <c r="L118" t="b">
        <v>0</v>
      </c>
      <c r="M118" t="b">
        <v>0</v>
      </c>
      <c r="N118" t="inlineStr">
        <is>
          <t>alt</t>
        </is>
      </c>
      <c r="O118" t="n">
        <v>-90</v>
      </c>
      <c r="P118" t="n">
        <v>0.00479</v>
      </c>
      <c r="Q118" t="n">
        <v>-100</v>
      </c>
      <c r="R118" t="n">
        <v>0.01464</v>
      </c>
      <c r="S118">
        <f>IMAGE("https://mitra.stanford.edu/kundaje/oak/projects/neuro-variants/variant_position/credible/roussos_2024/variant_figures/roussos_2024.childhood.GLU/rs12135442_count_position.png",4,220,900)</f>
        <v/>
      </c>
      <c r="T118">
        <f>IMAGE("https://mitra.stanford.edu/kundaje/oak/projects/neuro-variants/variant_position/credible/roussos_2024/variant_figures/roussos_2024.childhood.GLU/rs12135442_profile_position.png",4,220,900)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0.00136060856</v>
      </c>
      <c r="G119" t="n">
        <v>0.8696148797858798</v>
      </c>
      <c r="H119" t="n">
        <v>0.0104962663851</v>
      </c>
      <c r="I119" t="n">
        <v>0.6019124126604471</v>
      </c>
      <c r="J119" t="n">
        <v>0.0065253896792936</v>
      </c>
      <c r="K119" t="n">
        <v>0.6436066120062962</v>
      </c>
      <c r="L119" t="b">
        <v>0</v>
      </c>
      <c r="M119" t="b">
        <v>0</v>
      </c>
      <c r="N119" t="inlineStr">
        <is>
          <t>alt</t>
        </is>
      </c>
      <c r="O119" t="n">
        <v>100</v>
      </c>
      <c r="P119" t="n">
        <v>0.06165</v>
      </c>
      <c r="Q119" t="n">
        <v>-70</v>
      </c>
      <c r="R119" t="n">
        <v>0.04385</v>
      </c>
      <c r="S119">
        <f>IMAGE("https://mitra.stanford.edu/kundaje/oak/projects/neuro-variants/variant_position/credible/roussos_2024/variant_figures/roussos_2024.childhood.GLU/rs11210070_count_position.png",4,220,900)</f>
        <v/>
      </c>
      <c r="T119">
        <f>IMAGE("https://mitra.stanford.edu/kundaje/oak/projects/neuro-variants/variant_position/credible/roussos_2024/variant_figures/roussos_2024.childhood.GLU/rs11210070_profile_position.png",4,220,900)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0.0247084674</v>
      </c>
      <c r="G120" t="n">
        <v>0.3904995233071162</v>
      </c>
      <c r="H120" t="n">
        <v>0.020685088704394</v>
      </c>
      <c r="I120" t="n">
        <v>0.08932793257805199</v>
      </c>
      <c r="J120" t="n">
        <v>0.0315452213419596</v>
      </c>
      <c r="K120" t="n">
        <v>0.4277041760220473</v>
      </c>
      <c r="L120" t="b">
        <v>0</v>
      </c>
      <c r="M120" t="b">
        <v>0</v>
      </c>
      <c r="N120" t="inlineStr">
        <is>
          <t>alt</t>
        </is>
      </c>
      <c r="O120" t="n">
        <v>-80</v>
      </c>
      <c r="P120" t="n">
        <v>0.04156</v>
      </c>
      <c r="Q120" t="n">
        <v>-70</v>
      </c>
      <c r="R120" t="n">
        <v>0.547</v>
      </c>
      <c r="S120">
        <f>IMAGE("https://mitra.stanford.edu/kundaje/oak/projects/neuro-variants/variant_position/credible/roussos_2024/variant_figures/roussos_2024.childhood.GLU/rs2422320_count_position.png",4,220,900)</f>
        <v/>
      </c>
      <c r="T120">
        <f>IMAGE("https://mitra.stanford.edu/kundaje/oak/projects/neuro-variants/variant_position/credible/roussos_2024/variant_figures/roussos_2024.childhood.GLU/rs2422320_profile_position.png",4,220,900)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0.0466449591999999</v>
      </c>
      <c r="G121" t="n">
        <v>0.193355457123092</v>
      </c>
      <c r="H121" t="n">
        <v>0.0195074865399381</v>
      </c>
      <c r="I121" t="n">
        <v>0.1099820651851999</v>
      </c>
      <c r="J121" t="n">
        <v>0.0050130322354661</v>
      </c>
      <c r="K121" t="n">
        <v>0.6846585667014251</v>
      </c>
      <c r="L121" t="b">
        <v>0</v>
      </c>
      <c r="M121" t="b">
        <v>0</v>
      </c>
      <c r="N121" t="inlineStr">
        <is>
          <t>alt</t>
        </is>
      </c>
      <c r="O121" t="n">
        <v>60</v>
      </c>
      <c r="P121" t="n">
        <v>0.02559</v>
      </c>
      <c r="Q121" t="n">
        <v>85</v>
      </c>
      <c r="R121" t="n">
        <v>0.1737</v>
      </c>
      <c r="S121">
        <f>IMAGE("https://mitra.stanford.edu/kundaje/oak/projects/neuro-variants/variant_position/credible/roussos_2024/variant_figures/roussos_2024.childhood.GLU/rs1525980_count_position.png",4,220,900)</f>
        <v/>
      </c>
      <c r="T121">
        <f>IMAGE("https://mitra.stanford.edu/kundaje/oak/projects/neuro-variants/variant_position/credible/roussos_2024/variant_figures/roussos_2024.childhood.GLU/rs1525980_profile_position.png",4,220,900)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0.370833864</v>
      </c>
      <c r="G122" t="n">
        <v>0.0009552035234669</v>
      </c>
      <c r="H122" t="n">
        <v>0.0621512288041702</v>
      </c>
      <c r="I122" t="n">
        <v>0.0013288191533429</v>
      </c>
      <c r="J122" t="n">
        <v>0.0101754458260788</v>
      </c>
      <c r="K122" t="n">
        <v>0.5982083405984042</v>
      </c>
      <c r="L122" t="b">
        <v>1</v>
      </c>
      <c r="M122" t="b">
        <v>1</v>
      </c>
      <c r="N122" t="inlineStr">
        <is>
          <t>alt</t>
        </is>
      </c>
      <c r="O122" t="n">
        <v>50</v>
      </c>
      <c r="P122" t="n">
        <v>0.001205</v>
      </c>
      <c r="Q122" t="n">
        <v>55</v>
      </c>
      <c r="R122" t="n">
        <v>0.10657</v>
      </c>
      <c r="S122">
        <f>IMAGE("https://mitra.stanford.edu/kundaje/oak/projects/neuro-variants/variant_position/credible/roussos_2024/variant_figures/roussos_2024.childhood.GLU/rs6682845_count_position.png",4,220,900)</f>
        <v/>
      </c>
      <c r="T122">
        <f>IMAGE("https://mitra.stanford.edu/kundaje/oak/projects/neuro-variants/variant_position/credible/roussos_2024/variant_figures/roussos_2024.childhood.GLU/rs6682845_profile_position.png",4,220,900)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-0.01029836246</v>
      </c>
      <c r="G123" t="n">
        <v>0.5791540983941512</v>
      </c>
      <c r="H123" t="n">
        <v>0.009328426754241901</v>
      </c>
      <c r="I123" t="n">
        <v>0.7333504625553547</v>
      </c>
      <c r="J123" t="n">
        <v>0.3031607034316502</v>
      </c>
      <c r="K123" t="n">
        <v>0.09571325000593239</v>
      </c>
      <c r="L123" t="b">
        <v>0</v>
      </c>
      <c r="M123" t="b">
        <v>0</v>
      </c>
      <c r="N123" t="inlineStr">
        <is>
          <t>ref</t>
        </is>
      </c>
      <c r="O123" t="n">
        <v>-55</v>
      </c>
      <c r="P123" t="n">
        <v>0.0155</v>
      </c>
      <c r="Q123" t="n">
        <v>-15</v>
      </c>
      <c r="R123" t="n">
        <v>0.02734</v>
      </c>
      <c r="S123">
        <f>IMAGE("https://mitra.stanford.edu/kundaje/oak/projects/neuro-variants/variant_position/credible/roussos_2024/variant_figures/roussos_2024.childhood.GLU/rs11210117_count_position.png",4,220,900)</f>
        <v/>
      </c>
      <c r="T123">
        <f>IMAGE("https://mitra.stanford.edu/kundaje/oak/projects/neuro-variants/variant_position/credible/roussos_2024/variant_figures/roussos_2024.childhood.GLU/rs11210117_profile_position.png",4,220,900)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0.0334462872</v>
      </c>
      <c r="G124" t="n">
        <v>0.2939916632591183</v>
      </c>
      <c r="H124" t="n">
        <v>0.0241532760493884</v>
      </c>
      <c r="I124" t="n">
        <v>0.0504647975174503</v>
      </c>
      <c r="J124" t="n">
        <v>0.0068344545520104</v>
      </c>
      <c r="K124" t="n">
        <v>0.6416411675425016</v>
      </c>
      <c r="L124" t="b">
        <v>0</v>
      </c>
      <c r="M124" t="b">
        <v>0</v>
      </c>
      <c r="N124" t="inlineStr">
        <is>
          <t>alt</t>
        </is>
      </c>
      <c r="O124" t="n">
        <v>70</v>
      </c>
      <c r="P124" t="n">
        <v>0.003075</v>
      </c>
      <c r="Q124" t="n">
        <v>-70</v>
      </c>
      <c r="R124" t="n">
        <v>0.02405</v>
      </c>
      <c r="S124">
        <f>IMAGE("https://mitra.stanford.edu/kundaje/oak/projects/neuro-variants/variant_position/credible/roussos_2024/variant_figures/roussos_2024.childhood.GLU/rs11210120_count_position.png",4,220,900)</f>
        <v/>
      </c>
      <c r="T124">
        <f>IMAGE("https://mitra.stanford.edu/kundaje/oak/projects/neuro-variants/variant_position/credible/roussos_2024/variant_figures/roussos_2024.childhood.GLU/rs11210120_profile_position.png",4,220,900)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-0.0353607278</v>
      </c>
      <c r="G125" t="n">
        <v>0.3023704788445967</v>
      </c>
      <c r="H125" t="n">
        <v>0.0098294093227487</v>
      </c>
      <c r="I125" t="n">
        <v>0.6427076518454663</v>
      </c>
      <c r="J125" t="n">
        <v>0.0497439912637662</v>
      </c>
      <c r="K125" t="n">
        <v>0.3682896673191879</v>
      </c>
      <c r="L125" t="b">
        <v>0</v>
      </c>
      <c r="M125" t="b">
        <v>0</v>
      </c>
      <c r="N125" t="inlineStr">
        <is>
          <t>ref</t>
        </is>
      </c>
      <c r="O125" t="n">
        <v>-100</v>
      </c>
      <c r="P125" t="n">
        <v>0.002548</v>
      </c>
      <c r="Q125" t="n">
        <v>-55</v>
      </c>
      <c r="R125" t="n">
        <v>0.0569</v>
      </c>
      <c r="S125">
        <f>IMAGE("https://mitra.stanford.edu/kundaje/oak/projects/neuro-variants/variant_position/credible/roussos_2024/variant_figures/roussos_2024.childhood.GLU/rs61773608_count_position.png",4,220,900)</f>
        <v/>
      </c>
      <c r="T125">
        <f>IMAGE("https://mitra.stanford.edu/kundaje/oak/projects/neuro-variants/variant_position/credible/roussos_2024/variant_figures/roussos_2024.childhood.GLU/rs61773608_profile_position.png",4,220,900)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-0.0300806093399999</v>
      </c>
      <c r="G126" t="n">
        <v>0.3537149436860471</v>
      </c>
      <c r="H126" t="n">
        <v>0.03154833400923</v>
      </c>
      <c r="I126" t="n">
        <v>0.0179660894215295</v>
      </c>
      <c r="J126" t="n">
        <v>0.0001493813551464</v>
      </c>
      <c r="K126" t="n">
        <v>0.932889495997042</v>
      </c>
      <c r="L126" t="b">
        <v>0</v>
      </c>
      <c r="M126" t="b">
        <v>0</v>
      </c>
      <c r="N126" t="inlineStr">
        <is>
          <t>ref</t>
        </is>
      </c>
      <c r="O126" t="n">
        <v>35</v>
      </c>
      <c r="P126" t="n">
        <v>0.003784</v>
      </c>
      <c r="Q126" t="n">
        <v>-45</v>
      </c>
      <c r="R126" t="n">
        <v>0.06244</v>
      </c>
      <c r="S126">
        <f>IMAGE("https://mitra.stanford.edu/kundaje/oak/projects/neuro-variants/variant_position/credible/roussos_2024/variant_figures/roussos_2024.childhood.GLU/rs4233100_count_position.png",4,220,900)</f>
        <v/>
      </c>
      <c r="T126">
        <f>IMAGE("https://mitra.stanford.edu/kundaje/oak/projects/neuro-variants/variant_position/credible/roussos_2024/variant_figures/roussos_2024.childhood.GLU/rs4233100_profile_position.png",4,220,900)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-0.0406285472</v>
      </c>
      <c r="G127" t="n">
        <v>0.2682509423645846</v>
      </c>
      <c r="H127" t="n">
        <v>0.0262289792018049</v>
      </c>
      <c r="I127" t="n">
        <v>0.0381626240979172</v>
      </c>
      <c r="J127" t="n">
        <v>0.0016792524750944</v>
      </c>
      <c r="K127" t="n">
        <v>0.7849700406618428</v>
      </c>
      <c r="L127" t="b">
        <v>0</v>
      </c>
      <c r="M127" t="b">
        <v>0</v>
      </c>
      <c r="N127" t="inlineStr">
        <is>
          <t>ref</t>
        </is>
      </c>
      <c r="O127" t="n">
        <v>100</v>
      </c>
      <c r="P127" t="n">
        <v>0.03065</v>
      </c>
      <c r="Q127" t="n">
        <v>-100</v>
      </c>
      <c r="R127" t="n">
        <v>0.0747</v>
      </c>
      <c r="S127">
        <f>IMAGE("https://mitra.stanford.edu/kundaje/oak/projects/neuro-variants/variant_position/credible/roussos_2024/variant_figures/roussos_2024.childhood.GLU/rs12141350_count_position.png",4,220,900)</f>
        <v/>
      </c>
      <c r="T127">
        <f>IMAGE("https://mitra.stanford.edu/kundaje/oak/projects/neuro-variants/variant_position/credible/roussos_2024/variant_figures/roussos_2024.childhood.GLU/rs12141350_profile_position.png",4,220,900)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0.022879183</v>
      </c>
      <c r="G128" t="n">
        <v>0.4099230685440362</v>
      </c>
      <c r="H128" t="n">
        <v>0.0209888360501025</v>
      </c>
      <c r="I128" t="n">
        <v>0.08431109334445031</v>
      </c>
      <c r="J128" t="n">
        <v>0.0028217622879042</v>
      </c>
      <c r="K128" t="n">
        <v>0.7467321431976539</v>
      </c>
      <c r="L128" t="b">
        <v>0</v>
      </c>
      <c r="M128" t="b">
        <v>0</v>
      </c>
      <c r="N128" t="inlineStr">
        <is>
          <t>alt</t>
        </is>
      </c>
      <c r="O128" t="n">
        <v>40</v>
      </c>
      <c r="P128" t="n">
        <v>0.009169999999999999</v>
      </c>
      <c r="Q128" t="n">
        <v>20</v>
      </c>
      <c r="R128" t="n">
        <v>0.0531</v>
      </c>
      <c r="S128">
        <f>IMAGE("https://mitra.stanford.edu/kundaje/oak/projects/neuro-variants/variant_position/credible/roussos_2024/variant_figures/roussos_2024.childhood.GLU/rs11210125_count_position.png",4,220,900)</f>
        <v/>
      </c>
      <c r="T128">
        <f>IMAGE("https://mitra.stanford.edu/kundaje/oak/projects/neuro-variants/variant_position/credible/roussos_2024/variant_figures/roussos_2024.childhood.GLU/rs11210125_profile_position.png",4,220,900)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0.01942671248</v>
      </c>
      <c r="G129" t="n">
        <v>0.3882380560642475</v>
      </c>
      <c r="H129" t="n">
        <v>0.0081808125916671</v>
      </c>
      <c r="I129" t="n">
        <v>0.8512501639592069</v>
      </c>
      <c r="J129" t="n">
        <v>0.0448391317337508</v>
      </c>
      <c r="K129" t="n">
        <v>0.3667055385083536</v>
      </c>
      <c r="L129" t="b">
        <v>0</v>
      </c>
      <c r="M129" t="b">
        <v>0</v>
      </c>
      <c r="N129" t="inlineStr">
        <is>
          <t>alt</t>
        </is>
      </c>
      <c r="O129" t="n">
        <v>-90</v>
      </c>
      <c r="P129" t="n">
        <v>0.0106</v>
      </c>
      <c r="Q129" t="n">
        <v>-40</v>
      </c>
      <c r="R129" t="n">
        <v>0.01855</v>
      </c>
      <c r="S129">
        <f>IMAGE("https://mitra.stanford.edu/kundaje/oak/projects/neuro-variants/variant_position/credible/roussos_2024/variant_figures/roussos_2024.childhood.GLU/rs4428835_count_position.png",4,220,900)</f>
        <v/>
      </c>
      <c r="T129">
        <f>IMAGE("https://mitra.stanford.edu/kundaje/oak/projects/neuro-variants/variant_position/credible/roussos_2024/variant_figures/roussos_2024.childhood.GLU/rs4428835_profile_position.png",4,220,900)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-0.0081316537</v>
      </c>
      <c r="G130" t="n">
        <v>0.4232147388445319</v>
      </c>
      <c r="H130" t="n">
        <v>0.0372721616470973</v>
      </c>
      <c r="I130" t="n">
        <v>0.0087587416460251</v>
      </c>
      <c r="J130" t="n">
        <v>0.003236939433587</v>
      </c>
      <c r="K130" t="n">
        <v>0.7203685991108446</v>
      </c>
      <c r="L130" t="b">
        <v>0</v>
      </c>
      <c r="M130" t="b">
        <v>0</v>
      </c>
      <c r="N130" t="inlineStr">
        <is>
          <t>ref</t>
        </is>
      </c>
      <c r="O130" t="n">
        <v>-75</v>
      </c>
      <c r="P130" t="n">
        <v>0.007698</v>
      </c>
      <c r="Q130" t="n">
        <v>-100</v>
      </c>
      <c r="R130" t="n">
        <v>0.2318</v>
      </c>
      <c r="S130">
        <f>IMAGE("https://mitra.stanford.edu/kundaje/oak/projects/neuro-variants/variant_position/credible/roussos_2024/variant_figures/roussos_2024.childhood.GLU/rs7547148_count_position.png",4,220,900)</f>
        <v/>
      </c>
      <c r="T130">
        <f>IMAGE("https://mitra.stanford.edu/kundaje/oak/projects/neuro-variants/variant_position/credible/roussos_2024/variant_figures/roussos_2024.childhood.GLU/rs7547148_profile_position.png",4,220,900)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0.00741845606</v>
      </c>
      <c r="G131" t="n">
        <v>0.6878182357842827</v>
      </c>
      <c r="H131" t="n">
        <v>0.0258379438773462</v>
      </c>
      <c r="I131" t="n">
        <v>0.0376637769072008</v>
      </c>
      <c r="J131" t="n">
        <v>0.0010374277560859</v>
      </c>
      <c r="K131" t="n">
        <v>0.8387350493716911</v>
      </c>
      <c r="L131" t="b">
        <v>0</v>
      </c>
      <c r="M131" t="b">
        <v>0</v>
      </c>
      <c r="N131" t="inlineStr">
        <is>
          <t>alt</t>
        </is>
      </c>
      <c r="O131" t="n">
        <v>100</v>
      </c>
      <c r="P131" t="n">
        <v>0.006393</v>
      </c>
      <c r="Q131" t="n">
        <v>40</v>
      </c>
      <c r="R131" t="n">
        <v>0.0663</v>
      </c>
      <c r="S131">
        <f>IMAGE("https://mitra.stanford.edu/kundaje/oak/projects/neuro-variants/variant_position/credible/roussos_2024/variant_figures/roussos_2024.childhood.GLU/rs12118367_count_position.png",4,220,900)</f>
        <v/>
      </c>
      <c r="T131">
        <f>IMAGE("https://mitra.stanford.edu/kundaje/oak/projects/neuro-variants/variant_position/credible/roussos_2024/variant_figures/roussos_2024.childhood.GLU/rs12118367_profile_position.png",4,220,900)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-0.012567264472</v>
      </c>
      <c r="G132" t="n">
        <v>0.6078472304018283</v>
      </c>
      <c r="H132" t="n">
        <v>0.0321864845657342</v>
      </c>
      <c r="I132" t="n">
        <v>0.0164000097393366</v>
      </c>
      <c r="J132" t="n">
        <v>0.0024993046040363</v>
      </c>
      <c r="K132" t="n">
        <v>0.7674843747226188</v>
      </c>
      <c r="L132" t="b">
        <v>0</v>
      </c>
      <c r="M132" t="b">
        <v>0</v>
      </c>
      <c r="N132" t="inlineStr">
        <is>
          <t>ref</t>
        </is>
      </c>
      <c r="O132" t="n">
        <v>-100</v>
      </c>
      <c r="P132" t="n">
        <v>0.00711</v>
      </c>
      <c r="Q132" t="n">
        <v>-50</v>
      </c>
      <c r="R132" t="n">
        <v>0.0824</v>
      </c>
      <c r="S132">
        <f>IMAGE("https://mitra.stanford.edu/kundaje/oak/projects/neuro-variants/variant_position/credible/roussos_2024/variant_figures/roussos_2024.childhood.GLU/rs12137150_count_position.png",4,220,900)</f>
        <v/>
      </c>
      <c r="T132">
        <f>IMAGE("https://mitra.stanford.edu/kundaje/oak/projects/neuro-variants/variant_position/credible/roussos_2024/variant_figures/roussos_2024.childhood.GLU/rs12137150_profile_position.png",4,220,900)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-0.0218059249999999</v>
      </c>
      <c r="G133" t="n">
        <v>0.4516091219363485</v>
      </c>
      <c r="H133" t="n">
        <v>0.0084678300099983</v>
      </c>
      <c r="I133" t="n">
        <v>0.8323123390139109</v>
      </c>
      <c r="J133" t="n">
        <v>0.0020933994045349</v>
      </c>
      <c r="K133" t="n">
        <v>0.7690118885408966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0.03052</v>
      </c>
      <c r="Q133" t="n">
        <v>-100</v>
      </c>
      <c r="R133" t="n">
        <v>0.08984</v>
      </c>
      <c r="S133">
        <f>IMAGE("https://mitra.stanford.edu/kundaje/oak/projects/neuro-variants/variant_position/credible/roussos_2024/variant_figures/roussos_2024.childhood.GLU/rs4391625_count_position.png",4,220,900)</f>
        <v/>
      </c>
      <c r="T133">
        <f>IMAGE("https://mitra.stanford.edu/kundaje/oak/projects/neuro-variants/variant_position/credible/roussos_2024/variant_figures/roussos_2024.childhood.GLU/rs4391625_profile_position.png",4,220,900)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-0.1749584</v>
      </c>
      <c r="G134" t="n">
        <v>0.0124989948675026</v>
      </c>
      <c r="H134" t="n">
        <v>0.0226153503033364</v>
      </c>
      <c r="I134" t="n">
        <v>0.07259126873139821</v>
      </c>
      <c r="J134" t="n">
        <v>0.0060185232880381</v>
      </c>
      <c r="K134" t="n">
        <v>0.6537531041933504</v>
      </c>
      <c r="L134" t="b">
        <v>1</v>
      </c>
      <c r="M134" t="b">
        <v>0</v>
      </c>
      <c r="N134" t="inlineStr">
        <is>
          <t>ref</t>
        </is>
      </c>
      <c r="O134" t="n">
        <v>-95</v>
      </c>
      <c r="P134" t="n">
        <v>0.02428</v>
      </c>
      <c r="Q134" t="n">
        <v>-100</v>
      </c>
      <c r="R134" t="n">
        <v>0.1033</v>
      </c>
      <c r="S134">
        <f>IMAGE("https://mitra.stanford.edu/kundaje/oak/projects/neuro-variants/variant_position/credible/roussos_2024/variant_figures/roussos_2024.childhood.GLU/rs57852356_count_position.png",4,220,900)</f>
        <v/>
      </c>
      <c r="T134">
        <f>IMAGE("https://mitra.stanford.edu/kundaje/oak/projects/neuro-variants/variant_position/credible/roussos_2024/variant_figures/roussos_2024.childhood.GLU/rs57852356_profile_position.png",4,220,900)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-0.0678240718</v>
      </c>
      <c r="G135" t="n">
        <v>0.1087022481063708</v>
      </c>
      <c r="H135" t="n">
        <v>0.012752226149032</v>
      </c>
      <c r="I135" t="n">
        <v>0.3882100416692732</v>
      </c>
      <c r="J135" t="n">
        <v>0.0119051788970504</v>
      </c>
      <c r="K135" t="n">
        <v>0.5668847970739688</v>
      </c>
      <c r="L135" t="b">
        <v>0</v>
      </c>
      <c r="M135" t="b">
        <v>0</v>
      </c>
      <c r="N135" t="inlineStr">
        <is>
          <t>ref</t>
        </is>
      </c>
      <c r="O135" t="n">
        <v>-10</v>
      </c>
      <c r="P135" t="n">
        <v>0.000824</v>
      </c>
      <c r="Q135" t="n">
        <v>-100</v>
      </c>
      <c r="R135" t="n">
        <v>0.0929</v>
      </c>
      <c r="S135">
        <f>IMAGE("https://mitra.stanford.edu/kundaje/oak/projects/neuro-variants/variant_position/credible/roussos_2024/variant_figures/roussos_2024.childhood.GLU/rs6424521_count_position.png",4,220,900)</f>
        <v/>
      </c>
      <c r="T135">
        <f>IMAGE("https://mitra.stanford.edu/kundaje/oak/projects/neuro-variants/variant_position/credible/roussos_2024/variant_figures/roussos_2024.childhood.GLU/rs6424521_profile_position.png",4,220,900)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0.0772578377999999</v>
      </c>
      <c r="G136" t="n">
        <v>0.0755879856127922</v>
      </c>
      <c r="H136" t="n">
        <v>0.0135233464271606</v>
      </c>
      <c r="I136" t="n">
        <v>0.3343637348740876</v>
      </c>
      <c r="J136" t="n">
        <v>0.0130899275757981</v>
      </c>
      <c r="K136" t="n">
        <v>0.5562783651012916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0.03693</v>
      </c>
      <c r="Q136" t="n">
        <v>35</v>
      </c>
      <c r="R136" t="n">
        <v>0.0779</v>
      </c>
      <c r="S136">
        <f>IMAGE("https://mitra.stanford.edu/kundaje/oak/projects/neuro-variants/variant_position/credible/roussos_2024/variant_figures/roussos_2024.childhood.GLU/rs4454488_count_position.png",4,220,900)</f>
        <v/>
      </c>
      <c r="T136">
        <f>IMAGE("https://mitra.stanford.edu/kundaje/oak/projects/neuro-variants/variant_position/credible/roussos_2024/variant_figures/roussos_2024.childhood.GLU/rs4454488_profile_position.png",4,220,900)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0.00324702692</v>
      </c>
      <c r="G137" t="n">
        <v>0.5949585901421737</v>
      </c>
      <c r="H137" t="n">
        <v>0.0179112279493085</v>
      </c>
      <c r="I137" t="n">
        <v>0.1419044313396567</v>
      </c>
      <c r="J137" t="n">
        <v>0.0074690677573222</v>
      </c>
      <c r="K137" t="n">
        <v>0.6305105471971619</v>
      </c>
      <c r="L137" t="b">
        <v>0</v>
      </c>
      <c r="M137" t="b">
        <v>0</v>
      </c>
      <c r="N137" t="inlineStr">
        <is>
          <t>alt</t>
        </is>
      </c>
      <c r="O137" t="n">
        <v>-15</v>
      </c>
      <c r="P137" t="n">
        <v>0.00177</v>
      </c>
      <c r="Q137" t="n">
        <v>-85</v>
      </c>
      <c r="R137" t="n">
        <v>0.1458</v>
      </c>
      <c r="S137">
        <f>IMAGE("https://mitra.stanford.edu/kundaje/oak/projects/neuro-variants/variant_position/credible/roussos_2024/variant_figures/roussos_2024.childhood.GLU/rs4369180_count_position.png",4,220,900)</f>
        <v/>
      </c>
      <c r="T137">
        <f>IMAGE("https://mitra.stanford.edu/kundaje/oak/projects/neuro-variants/variant_position/credible/roussos_2024/variant_figures/roussos_2024.childhood.GLU/rs4369180_profile_position.png",4,220,900)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0.0422481224</v>
      </c>
      <c r="G138" t="n">
        <v>0.2354052634633197</v>
      </c>
      <c r="H138" t="n">
        <v>0.0311591797420799</v>
      </c>
      <c r="I138" t="n">
        <v>0.0191097842387692</v>
      </c>
      <c r="J138" t="n">
        <v>0.0060772456138543</v>
      </c>
      <c r="K138" t="n">
        <v>0.6521368934204593</v>
      </c>
      <c r="L138" t="b">
        <v>0</v>
      </c>
      <c r="M138" t="b">
        <v>0</v>
      </c>
      <c r="N138" t="inlineStr">
        <is>
          <t>alt</t>
        </is>
      </c>
      <c r="O138" t="n">
        <v>0</v>
      </c>
      <c r="P138" t="n">
        <v>0</v>
      </c>
      <c r="Q138" t="n">
        <v>-100</v>
      </c>
      <c r="R138" t="n">
        <v>0.015564</v>
      </c>
      <c r="S138">
        <f>IMAGE("https://mitra.stanford.edu/kundaje/oak/projects/neuro-variants/variant_position/credible/roussos_2024/variant_figures/roussos_2024.childhood.GLU/rs4633241_count_position.png",4,220,900)</f>
        <v/>
      </c>
      <c r="T138">
        <f>IMAGE("https://mitra.stanford.edu/kundaje/oak/projects/neuro-variants/variant_position/credible/roussos_2024/variant_figures/roussos_2024.childhood.GLU/rs4633241_profile_position.png",4,220,900)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-0.0342215368</v>
      </c>
      <c r="G139" t="n">
        <v>0.3044309153167683</v>
      </c>
      <c r="H139" t="n">
        <v>0.0125404934137395</v>
      </c>
      <c r="I139" t="n">
        <v>0.4047262666508646</v>
      </c>
      <c r="J139" t="n">
        <v>0.0008406564537896</v>
      </c>
      <c r="K139" t="n">
        <v>0.8476629392899012</v>
      </c>
      <c r="L139" t="b">
        <v>0</v>
      </c>
      <c r="M139" t="b">
        <v>0</v>
      </c>
      <c r="N139" t="inlineStr">
        <is>
          <t>ref</t>
        </is>
      </c>
      <c r="O139" t="n">
        <v>-90</v>
      </c>
      <c r="P139" t="n">
        <v>0.003967</v>
      </c>
      <c r="Q139" t="n">
        <v>90</v>
      </c>
      <c r="R139" t="n">
        <v>0.1392</v>
      </c>
      <c r="S139">
        <f>IMAGE("https://mitra.stanford.edu/kundaje/oak/projects/neuro-variants/variant_position/credible/roussos_2024/variant_figures/roussos_2024.childhood.GLU/rs10399828_count_position.png",4,220,900)</f>
        <v/>
      </c>
      <c r="T139">
        <f>IMAGE("https://mitra.stanford.edu/kundaje/oak/projects/neuro-variants/variant_position/credible/roussos_2024/variant_figures/roussos_2024.childhood.GLU/rs10399828_profile_position.png",4,220,900)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0.041315794</v>
      </c>
      <c r="G140" t="n">
        <v>0.2293026933104104</v>
      </c>
      <c r="H140" t="n">
        <v>0.0309386785660059</v>
      </c>
      <c r="I140" t="n">
        <v>0.0187416434934549</v>
      </c>
      <c r="J140" t="n">
        <v>0.1626443590509647</v>
      </c>
      <c r="K140" t="n">
        <v>0.1804922006725977</v>
      </c>
      <c r="L140" t="b">
        <v>1</v>
      </c>
      <c r="M140" t="b">
        <v>0</v>
      </c>
      <c r="N140" t="inlineStr">
        <is>
          <t>alt</t>
        </is>
      </c>
      <c r="O140" t="n">
        <v>25</v>
      </c>
      <c r="P140" t="n">
        <v>0.009155</v>
      </c>
      <c r="Q140" t="n">
        <v>100</v>
      </c>
      <c r="R140" t="n">
        <v>0.147</v>
      </c>
      <c r="S140">
        <f>IMAGE("https://mitra.stanford.edu/kundaje/oak/projects/neuro-variants/variant_position/credible/roussos_2024/variant_figures/roussos_2024.childhood.GLU/rs7528640_count_position.png",4,220,900)</f>
        <v/>
      </c>
      <c r="T140">
        <f>IMAGE("https://mitra.stanford.edu/kundaje/oak/projects/neuro-variants/variant_position/credible/roussos_2024/variant_figures/roussos_2024.childhood.GLU/rs7528640_profile_position.png",4,220,900)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0.01714085221</v>
      </c>
      <c r="G141" t="n">
        <v>0.5235694295155737</v>
      </c>
      <c r="H141" t="n">
        <v>0.017672215041955</v>
      </c>
      <c r="I141" t="n">
        <v>0.1503048589201349</v>
      </c>
      <c r="J141" t="n">
        <v>0.0003358504950188</v>
      </c>
      <c r="K141" t="n">
        <v>0.8909447802531238</v>
      </c>
      <c r="L141" t="b">
        <v>0</v>
      </c>
      <c r="M141" t="b">
        <v>0</v>
      </c>
      <c r="N141" t="inlineStr">
        <is>
          <t>alt</t>
        </is>
      </c>
      <c r="O141" t="n">
        <v>100</v>
      </c>
      <c r="P141" t="n">
        <v>0.01572</v>
      </c>
      <c r="Q141" t="n">
        <v>5</v>
      </c>
      <c r="R141" t="n">
        <v>0.004333</v>
      </c>
      <c r="S141">
        <f>IMAGE("https://mitra.stanford.edu/kundaje/oak/projects/neuro-variants/variant_position/credible/roussos_2024/variant_figures/roussos_2024.childhood.GLU/rs11210151_count_position.png",4,220,900)</f>
        <v/>
      </c>
      <c r="T141">
        <f>IMAGE("https://mitra.stanford.edu/kundaje/oak/projects/neuro-variants/variant_position/credible/roussos_2024/variant_figures/roussos_2024.childhood.GLU/rs11210151_profile_position.png",4,220,900)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0.0162090994</v>
      </c>
      <c r="G142" t="n">
        <v>0.5077559491292989</v>
      </c>
      <c r="H142" t="n">
        <v>0.0130976222252461</v>
      </c>
      <c r="I142" t="n">
        <v>0.3617889941407866</v>
      </c>
      <c r="J142" t="n">
        <v>0.0068983279590385</v>
      </c>
      <c r="K142" t="n">
        <v>0.6335728700698379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0.01686</v>
      </c>
      <c r="Q142" t="n">
        <v>-100</v>
      </c>
      <c r="R142" t="n">
        <v>0.07525999999999999</v>
      </c>
      <c r="S142">
        <f>IMAGE("https://mitra.stanford.edu/kundaje/oak/projects/neuro-variants/variant_position/credible/roussos_2024/variant_figures/roussos_2024.childhood.GLU/rs11210155_count_position.png",4,220,900)</f>
        <v/>
      </c>
      <c r="T142">
        <f>IMAGE("https://mitra.stanford.edu/kundaje/oak/projects/neuro-variants/variant_position/credible/roussos_2024/variant_figures/roussos_2024.childhood.GLU/rs11210155_profile_position.png",4,220,900)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0.07850648859999999</v>
      </c>
      <c r="G143" t="n">
        <v>0.08201482647292101</v>
      </c>
      <c r="H143" t="n">
        <v>0.0144235864647374</v>
      </c>
      <c r="I143" t="n">
        <v>0.2806503828605803</v>
      </c>
      <c r="J143" t="n">
        <v>0.0443745042084333</v>
      </c>
      <c r="K143" t="n">
        <v>0.3657191340892576</v>
      </c>
      <c r="L143" t="b">
        <v>0</v>
      </c>
      <c r="M143" t="b">
        <v>0</v>
      </c>
      <c r="N143" t="inlineStr">
        <is>
          <t>alt</t>
        </is>
      </c>
      <c r="O143" t="n">
        <v>100</v>
      </c>
      <c r="P143" t="n">
        <v>0.02197</v>
      </c>
      <c r="Q143" t="n">
        <v>-40</v>
      </c>
      <c r="R143" t="n">
        <v>0.01709</v>
      </c>
      <c r="S143">
        <f>IMAGE("https://mitra.stanford.edu/kundaje/oak/projects/neuro-variants/variant_position/credible/roussos_2024/variant_figures/roussos_2024.childhood.GLU/rs11210158_count_position.png",4,220,900)</f>
        <v/>
      </c>
      <c r="T143">
        <f>IMAGE("https://mitra.stanford.edu/kundaje/oak/projects/neuro-variants/variant_position/credible/roussos_2024/variant_figures/roussos_2024.childhood.GLU/rs11210158_profile_position.png",4,220,900)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-0.0936059548</v>
      </c>
      <c r="G144" t="n">
        <v>0.0575754346986351</v>
      </c>
      <c r="H144" t="n">
        <v>0.0153225679643362</v>
      </c>
      <c r="I144" t="n">
        <v>0.2340215512571173</v>
      </c>
      <c r="J144" t="n">
        <v>0.0341918468686577</v>
      </c>
      <c r="K144" t="n">
        <v>0.4044430197379325</v>
      </c>
      <c r="L144" t="b">
        <v>0</v>
      </c>
      <c r="M144" t="b">
        <v>0</v>
      </c>
      <c r="N144" t="inlineStr">
        <is>
          <t>ref</t>
        </is>
      </c>
      <c r="O144" t="n">
        <v>-100</v>
      </c>
      <c r="P144" t="n">
        <v>0.02077</v>
      </c>
      <c r="Q144" t="n">
        <v>-40</v>
      </c>
      <c r="R144" t="n">
        <v>0.02759</v>
      </c>
      <c r="S144">
        <f>IMAGE("https://mitra.stanford.edu/kundaje/oak/projects/neuro-variants/variant_position/credible/roussos_2024/variant_figures/roussos_2024.childhood.GLU/rs11210159_count_position.png",4,220,900)</f>
        <v/>
      </c>
      <c r="T144">
        <f>IMAGE("https://mitra.stanford.edu/kundaje/oak/projects/neuro-variants/variant_position/credible/roussos_2024/variant_figures/roussos_2024.childhood.GLU/rs11210159_profile_position.png",4,220,900)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0.228387836</v>
      </c>
      <c r="G145" t="n">
        <v>0.0052239682479322</v>
      </c>
      <c r="H145" t="n">
        <v>0.0441605674425087</v>
      </c>
      <c r="I145" t="n">
        <v>0.0047087277983605</v>
      </c>
      <c r="J145" t="n">
        <v>0.1288882936528377</v>
      </c>
      <c r="K145" t="n">
        <v>0.210064060923682</v>
      </c>
      <c r="L145" t="b">
        <v>1</v>
      </c>
      <c r="M145" t="b">
        <v>1</v>
      </c>
      <c r="N145" t="inlineStr">
        <is>
          <t>alt</t>
        </is>
      </c>
      <c r="O145" t="n">
        <v>5</v>
      </c>
      <c r="P145" t="n">
        <v>0.001251</v>
      </c>
      <c r="Q145" t="n">
        <v>30</v>
      </c>
      <c r="R145" t="n">
        <v>0.02393</v>
      </c>
      <c r="S145">
        <f>IMAGE("https://mitra.stanford.edu/kundaje/oak/projects/neuro-variants/variant_position/credible/roussos_2024/variant_figures/roussos_2024.childhood.GLU/rs6666765_count_position.png",4,220,900)</f>
        <v/>
      </c>
      <c r="T145">
        <f>IMAGE("https://mitra.stanford.edu/kundaje/oak/projects/neuro-variants/variant_position/credible/roussos_2024/variant_figures/roussos_2024.childhood.GLU/rs6666765_profile_position.png",4,220,900)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-0.00318009022</v>
      </c>
      <c r="G146" t="n">
        <v>0.7245575292296083</v>
      </c>
      <c r="H146" t="n">
        <v>0.0201960027942224</v>
      </c>
      <c r="I146" t="n">
        <v>0.0967409458807993</v>
      </c>
      <c r="J146" t="n">
        <v>0.0015185387412817</v>
      </c>
      <c r="K146" t="n">
        <v>0.7967973325543198</v>
      </c>
      <c r="L146" t="b">
        <v>0</v>
      </c>
      <c r="M146" t="b">
        <v>0</v>
      </c>
      <c r="N146" t="inlineStr">
        <is>
          <t>ref</t>
        </is>
      </c>
      <c r="O146" t="n">
        <v>70</v>
      </c>
      <c r="P146" t="n">
        <v>0.02214</v>
      </c>
      <c r="Q146" t="n">
        <v>-95</v>
      </c>
      <c r="R146" t="n">
        <v>0.2395</v>
      </c>
      <c r="S146">
        <f>IMAGE("https://mitra.stanford.edu/kundaje/oak/projects/neuro-variants/variant_position/credible/roussos_2024/variant_figures/roussos_2024.childhood.GLU/rs11210163_count_position.png",4,220,900)</f>
        <v/>
      </c>
      <c r="T146">
        <f>IMAGE("https://mitra.stanford.edu/kundaje/oak/projects/neuro-variants/variant_position/credible/roussos_2024/variant_figures/roussos_2024.childhood.GLU/rs11210163_profile_position.png",4,220,900)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-0.1154265898</v>
      </c>
      <c r="G147" t="n">
        <v>0.0467516959416223</v>
      </c>
      <c r="H147" t="n">
        <v>0.0206908457388902</v>
      </c>
      <c r="I147" t="n">
        <v>0.110196183059224</v>
      </c>
      <c r="J147" t="n">
        <v>0.114439510853328</v>
      </c>
      <c r="K147" t="n">
        <v>0.2318627894271448</v>
      </c>
      <c r="L147" t="b">
        <v>0</v>
      </c>
      <c r="M147" t="b">
        <v>0</v>
      </c>
      <c r="N147" t="inlineStr">
        <is>
          <t>ref</t>
        </is>
      </c>
      <c r="O147" t="n">
        <v>100</v>
      </c>
      <c r="P147" t="n">
        <v>0.006767</v>
      </c>
      <c r="Q147" t="n">
        <v>100</v>
      </c>
      <c r="R147" t="n">
        <v>0.3545</v>
      </c>
      <c r="S147">
        <f>IMAGE("https://mitra.stanford.edu/kundaje/oak/projects/neuro-variants/variant_position/credible/roussos_2024/variant_figures/roussos_2024.childhood.GLU/rs4492565_count_position.png",4,220,900)</f>
        <v/>
      </c>
      <c r="T147">
        <f>IMAGE("https://mitra.stanford.edu/kundaje/oak/projects/neuro-variants/variant_position/credible/roussos_2024/variant_figures/roussos_2024.childhood.GLU/rs4492565_profile_position.png",4,220,900)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0.0002522953</v>
      </c>
      <c r="G148" t="n">
        <v>0.7475397926328974</v>
      </c>
      <c r="H148" t="n">
        <v>0.0190893529156634</v>
      </c>
      <c r="I148" t="n">
        <v>0.1154960722273331</v>
      </c>
      <c r="J148" t="n">
        <v>0.0011291170016586</v>
      </c>
      <c r="K148" t="n">
        <v>0.8321195774648475</v>
      </c>
      <c r="L148" t="b">
        <v>0</v>
      </c>
      <c r="M148" t="b">
        <v>0</v>
      </c>
      <c r="N148" t="inlineStr">
        <is>
          <t>alt</t>
        </is>
      </c>
      <c r="O148" t="n">
        <v>80</v>
      </c>
      <c r="P148" t="n">
        <v>0.001358</v>
      </c>
      <c r="Q148" t="n">
        <v>15</v>
      </c>
      <c r="R148" t="n">
        <v>0.02515</v>
      </c>
      <c r="S148">
        <f>IMAGE("https://mitra.stanford.edu/kundaje/oak/projects/neuro-variants/variant_position/credible/roussos_2024/variant_figures/roussos_2024.childhood.GLU/rs4650196_count_position.png",4,220,900)</f>
        <v/>
      </c>
      <c r="T148">
        <f>IMAGE("https://mitra.stanford.edu/kundaje/oak/projects/neuro-variants/variant_position/credible/roussos_2024/variant_figures/roussos_2024.childhood.GLU/rs4650196_profile_position.png",4,220,900)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-0.012649118758</v>
      </c>
      <c r="G149" t="n">
        <v>0.6035391926011355</v>
      </c>
      <c r="H149" t="n">
        <v>0.0129161349588683</v>
      </c>
      <c r="I149" t="n">
        <v>0.3810164202151616</v>
      </c>
      <c r="J149" t="n">
        <v>0.0076071167338023</v>
      </c>
      <c r="K149" t="n">
        <v>0.6304449697217763</v>
      </c>
      <c r="L149" t="b">
        <v>0</v>
      </c>
      <c r="M149" t="b">
        <v>0</v>
      </c>
      <c r="N149" t="inlineStr">
        <is>
          <t>ref</t>
        </is>
      </c>
      <c r="O149" t="n">
        <v>90</v>
      </c>
      <c r="P149" t="n">
        <v>0.00315</v>
      </c>
      <c r="Q149" t="n">
        <v>45</v>
      </c>
      <c r="R149" t="n">
        <v>0.04633</v>
      </c>
      <c r="S149">
        <f>IMAGE("https://mitra.stanford.edu/kundaje/oak/projects/neuro-variants/variant_position/credible/roussos_2024/variant_figures/roussos_2024.childhood.GLU/rs6695455_count_position.png",4,220,900)</f>
        <v/>
      </c>
      <c r="T149">
        <f>IMAGE("https://mitra.stanford.edu/kundaje/oak/projects/neuro-variants/variant_position/credible/roussos_2024/variant_figures/roussos_2024.childhood.GLU/rs6695455_profile_position.png",4,220,900)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0.0075294393</v>
      </c>
      <c r="G150" t="n">
        <v>0.4100049581596747</v>
      </c>
      <c r="H150" t="n">
        <v>0.0136783653964275</v>
      </c>
      <c r="I150" t="n">
        <v>0.3273858603192827</v>
      </c>
      <c r="J150" t="n">
        <v>0.0177485654238824</v>
      </c>
      <c r="K150" t="n">
        <v>0.5120196610643959</v>
      </c>
      <c r="L150" t="b">
        <v>0</v>
      </c>
      <c r="M150" t="b">
        <v>0</v>
      </c>
      <c r="N150" t="inlineStr">
        <is>
          <t>alt</t>
        </is>
      </c>
      <c r="O150" t="n">
        <v>40</v>
      </c>
      <c r="P150" t="n">
        <v>0.00908</v>
      </c>
      <c r="Q150" t="n">
        <v>-30</v>
      </c>
      <c r="R150" t="n">
        <v>0.07779999999999999</v>
      </c>
      <c r="S150">
        <f>IMAGE("https://mitra.stanford.edu/kundaje/oak/projects/neuro-variants/variant_position/credible/roussos_2024/variant_figures/roussos_2024.childhood.GLU/rs6698500_count_position.png",4,220,900)</f>
        <v/>
      </c>
      <c r="T150">
        <f>IMAGE("https://mitra.stanford.edu/kundaje/oak/projects/neuro-variants/variant_position/credible/roussos_2024/variant_figures/roussos_2024.childhood.GLU/rs6698500_profile_position.png",4,220,900)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0.0690886736</v>
      </c>
      <c r="G151" t="n">
        <v>0.09967832817677739</v>
      </c>
      <c r="H151" t="n">
        <v>0.0105434150903214</v>
      </c>
      <c r="I151" t="n">
        <v>0.6030966118423765</v>
      </c>
      <c r="J151" t="n">
        <v>0.1171366169759031</v>
      </c>
      <c r="K151" t="n">
        <v>0.2228998144305376</v>
      </c>
      <c r="L151" t="b">
        <v>0</v>
      </c>
      <c r="M151" t="b">
        <v>0</v>
      </c>
      <c r="N151" t="inlineStr">
        <is>
          <t>alt</t>
        </is>
      </c>
      <c r="O151" t="n">
        <v>100</v>
      </c>
      <c r="P151" t="n">
        <v>0.03345</v>
      </c>
      <c r="Q151" t="n">
        <v>80</v>
      </c>
      <c r="R151" t="n">
        <v>0.1023</v>
      </c>
      <c r="S151">
        <f>IMAGE("https://mitra.stanford.edu/kundaje/oak/projects/neuro-variants/variant_position/credible/roussos_2024/variant_figures/roussos_2024.childhood.GLU/rs12124553_count_position.png",4,220,900)</f>
        <v/>
      </c>
      <c r="T151">
        <f>IMAGE("https://mitra.stanford.edu/kundaje/oak/projects/neuro-variants/variant_position/credible/roussos_2024/variant_figures/roussos_2024.childhood.GLU/rs12124553_profile_position.png",4,220,900)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-0.0365788616</v>
      </c>
      <c r="G152" t="n">
        <v>0.2160490893005222</v>
      </c>
      <c r="H152" t="n">
        <v>0.0610345482753458</v>
      </c>
      <c r="I152" t="n">
        <v>0.0013129059612658</v>
      </c>
      <c r="J152" t="n">
        <v>0.0088227718998217</v>
      </c>
      <c r="K152" t="n">
        <v>0.6089360999113544</v>
      </c>
      <c r="L152" t="b">
        <v>0</v>
      </c>
      <c r="M152" t="b">
        <v>0</v>
      </c>
      <c r="N152" t="inlineStr">
        <is>
          <t>ref</t>
        </is>
      </c>
      <c r="O152" t="n">
        <v>-20</v>
      </c>
      <c r="P152" t="n">
        <v>0.005814</v>
      </c>
      <c r="Q152" t="n">
        <v>-25</v>
      </c>
      <c r="R152" t="n">
        <v>0.1096</v>
      </c>
      <c r="S152">
        <f>IMAGE("https://mitra.stanford.edu/kundaje/oak/projects/neuro-variants/variant_position/credible/roussos_2024/variant_figures/roussos_2024.childhood.GLU/rs12126688_count_position.png",4,220,900)</f>
        <v/>
      </c>
      <c r="T152">
        <f>IMAGE("https://mitra.stanford.edu/kundaje/oak/projects/neuro-variants/variant_position/credible/roussos_2024/variant_figures/roussos_2024.childhood.GLU/rs12126688_profile_position.png",4,220,900)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0.0395664577999999</v>
      </c>
      <c r="G153" t="n">
        <v>0.2337147783800293</v>
      </c>
      <c r="H153" t="n">
        <v>0.0332358032873956</v>
      </c>
      <c r="I153" t="n">
        <v>0.0142269359113658</v>
      </c>
      <c r="J153" t="n">
        <v>0.2181379871635055</v>
      </c>
      <c r="K153" t="n">
        <v>0.1375272112819166</v>
      </c>
      <c r="L153" t="b">
        <v>1</v>
      </c>
      <c r="M153" t="b">
        <v>0</v>
      </c>
      <c r="N153" t="inlineStr">
        <is>
          <t>alt</t>
        </is>
      </c>
      <c r="O153" t="n">
        <v>-100</v>
      </c>
      <c r="P153" t="n">
        <v>0.02536</v>
      </c>
      <c r="Q153" t="n">
        <v>-100</v>
      </c>
      <c r="R153" t="n">
        <v>0.1304</v>
      </c>
      <c r="S153">
        <f>IMAGE("https://mitra.stanford.edu/kundaje/oak/projects/neuro-variants/variant_position/credible/roussos_2024/variant_figures/roussos_2024.childhood.GLU/rs4503305_count_position.png",4,220,900)</f>
        <v/>
      </c>
      <c r="T153">
        <f>IMAGE("https://mitra.stanford.edu/kundaje/oak/projects/neuro-variants/variant_position/credible/roussos_2024/variant_figures/roussos_2024.childhood.GLU/rs4503305_profile_position.png",4,220,900)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0.00372445578</v>
      </c>
      <c r="G154" t="n">
        <v>0.7320847368380711</v>
      </c>
      <c r="H154" t="n">
        <v>0.0073561811852458</v>
      </c>
      <c r="I154" t="n">
        <v>0.9045676614713528</v>
      </c>
      <c r="J154" t="n">
        <v>0.4885676903582062</v>
      </c>
      <c r="K154" t="n">
        <v>0.0443550955220968</v>
      </c>
      <c r="L154" t="b">
        <v>0</v>
      </c>
      <c r="M154" t="b">
        <v>0</v>
      </c>
      <c r="N154" t="inlineStr">
        <is>
          <t>alt</t>
        </is>
      </c>
      <c r="O154" t="n">
        <v>-100</v>
      </c>
      <c r="P154" t="n">
        <v>0.001278</v>
      </c>
      <c r="Q154" t="n">
        <v>55</v>
      </c>
      <c r="R154" t="n">
        <v>0.06714000000000001</v>
      </c>
      <c r="S154">
        <f>IMAGE("https://mitra.stanford.edu/kundaje/oak/projects/neuro-variants/variant_position/credible/roussos_2024/variant_figures/roussos_2024.childhood.GLU/rs4641264_count_position.png",4,220,900)</f>
        <v/>
      </c>
      <c r="T154">
        <f>IMAGE("https://mitra.stanford.edu/kundaje/oak/projects/neuro-variants/variant_position/credible/roussos_2024/variant_figures/roussos_2024.childhood.GLU/rs4641264_profile_position.png",4,220,900)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-0.0728282252</v>
      </c>
      <c r="G155" t="n">
        <v>0.092806978115658</v>
      </c>
      <c r="H155" t="n">
        <v>0.017793361557933</v>
      </c>
      <c r="I155" t="n">
        <v>0.1501676874627255</v>
      </c>
      <c r="J155" t="n">
        <v>0.4648953815405853</v>
      </c>
      <c r="K155" t="n">
        <v>0.0490819811642929</v>
      </c>
      <c r="L155" t="b">
        <v>0</v>
      </c>
      <c r="M155" t="b">
        <v>0</v>
      </c>
      <c r="N155" t="inlineStr">
        <is>
          <t>ref</t>
        </is>
      </c>
      <c r="O155" t="n">
        <v>-35</v>
      </c>
      <c r="P155" t="n">
        <v>0.00238</v>
      </c>
      <c r="Q155" t="n">
        <v>-15</v>
      </c>
      <c r="R155" t="n">
        <v>0.01563</v>
      </c>
      <c r="S155">
        <f>IMAGE("https://mitra.stanford.edu/kundaje/oak/projects/neuro-variants/variant_position/credible/roussos_2024/variant_figures/roussos_2024.childhood.GLU/rs4578169_count_position.png",4,220,900)</f>
        <v/>
      </c>
      <c r="T155">
        <f>IMAGE("https://mitra.stanford.edu/kundaje/oak/projects/neuro-variants/variant_position/credible/roussos_2024/variant_figures/roussos_2024.childhood.GLU/rs4578169_profile_position.png",4,220,900)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0.0642980626</v>
      </c>
      <c r="G156" t="n">
        <v>0.1140232487707651</v>
      </c>
      <c r="H156" t="n">
        <v>0.0121251177586622</v>
      </c>
      <c r="I156" t="n">
        <v>0.4441050628439617</v>
      </c>
      <c r="J156" t="n">
        <v>0.4677799870192753</v>
      </c>
      <c r="K156" t="n">
        <v>0.0484233581789165</v>
      </c>
      <c r="L156" t="b">
        <v>0</v>
      </c>
      <c r="M156" t="b">
        <v>0</v>
      </c>
      <c r="N156" t="inlineStr">
        <is>
          <t>alt</t>
        </is>
      </c>
      <c r="O156" t="n">
        <v>-95</v>
      </c>
      <c r="P156" t="n">
        <v>0.00453</v>
      </c>
      <c r="Q156" t="n">
        <v>-60</v>
      </c>
      <c r="R156" t="n">
        <v>0.07056</v>
      </c>
      <c r="S156">
        <f>IMAGE("https://mitra.stanford.edu/kundaje/oak/projects/neuro-variants/variant_position/credible/roussos_2024/variant_figures/roussos_2024.childhood.GLU/rs7514409_count_position.png",4,220,900)</f>
        <v/>
      </c>
      <c r="T156">
        <f>IMAGE("https://mitra.stanford.edu/kundaje/oak/projects/neuro-variants/variant_position/credible/roussos_2024/variant_figures/roussos_2024.childhood.GLU/rs7514409_profile_position.png",4,220,900)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0.0528187648</v>
      </c>
      <c r="G157" t="n">
        <v>0.1628488522381926</v>
      </c>
      <c r="H157" t="n">
        <v>0.0124840022560361</v>
      </c>
      <c r="I157" t="n">
        <v>0.4137262464249991</v>
      </c>
      <c r="J157" t="n">
        <v>0.0074072547827788</v>
      </c>
      <c r="K157" t="n">
        <v>0.6228015887428064</v>
      </c>
      <c r="L157" t="b">
        <v>0</v>
      </c>
      <c r="M157" t="b">
        <v>0</v>
      </c>
      <c r="N157" t="inlineStr">
        <is>
          <t>alt</t>
        </is>
      </c>
      <c r="O157" t="n">
        <v>-95</v>
      </c>
      <c r="P157" t="n">
        <v>0.01631</v>
      </c>
      <c r="Q157" t="n">
        <v>55</v>
      </c>
      <c r="R157" t="n">
        <v>0.1137</v>
      </c>
      <c r="S157">
        <f>IMAGE("https://mitra.stanford.edu/kundaje/oak/projects/neuro-variants/variant_position/credible/roussos_2024/variant_figures/roussos_2024.childhood.GLU/rs4074990_count_position.png",4,220,900)</f>
        <v/>
      </c>
      <c r="T157">
        <f>IMAGE("https://mitra.stanford.edu/kundaje/oak/projects/neuro-variants/variant_position/credible/roussos_2024/variant_figures/roussos_2024.childhood.GLU/rs4074990_profile_position.png",4,220,900)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0.150660538</v>
      </c>
      <c r="G158" t="n">
        <v>0.0176688307488488</v>
      </c>
      <c r="H158" t="n">
        <v>0.0310911804354235</v>
      </c>
      <c r="I158" t="n">
        <v>0.0190787476643752</v>
      </c>
      <c r="J158" t="n">
        <v>0.1951456210658617</v>
      </c>
      <c r="K158" t="n">
        <v>0.1536394647924306</v>
      </c>
      <c r="L158" t="b">
        <v>1</v>
      </c>
      <c r="M158" t="b">
        <v>0</v>
      </c>
      <c r="N158" t="inlineStr">
        <is>
          <t>alt</t>
        </is>
      </c>
      <c r="O158" t="n">
        <v>-90</v>
      </c>
      <c r="P158" t="n">
        <v>0.02014</v>
      </c>
      <c r="Q158" t="n">
        <v>-100</v>
      </c>
      <c r="R158" t="n">
        <v>0.1301</v>
      </c>
      <c r="S158">
        <f>IMAGE("https://mitra.stanford.edu/kundaje/oak/projects/neuro-variants/variant_position/credible/roussos_2024/variant_figures/roussos_2024.childhood.GLU/rs6424546_count_position.png",4,220,900)</f>
        <v/>
      </c>
      <c r="T158">
        <f>IMAGE("https://mitra.stanford.edu/kundaje/oak/projects/neuro-variants/variant_position/credible/roussos_2024/variant_figures/roussos_2024.childhood.GLU/rs6424546_profile_position.png",4,220,900)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-0.0537715072</v>
      </c>
      <c r="G159" t="n">
        <v>0.1623224670616368</v>
      </c>
      <c r="H159" t="n">
        <v>0.0134873923656368</v>
      </c>
      <c r="I159" t="n">
        <v>0.3416864348799654</v>
      </c>
      <c r="J159" t="n">
        <v>0.0025240297938536</v>
      </c>
      <c r="K159" t="n">
        <v>0.753250623175316</v>
      </c>
      <c r="L159" t="b">
        <v>0</v>
      </c>
      <c r="M159" t="b">
        <v>0</v>
      </c>
      <c r="N159" t="inlineStr">
        <is>
          <t>ref</t>
        </is>
      </c>
      <c r="O159" t="n">
        <v>70</v>
      </c>
      <c r="P159" t="n">
        <v>0.003374</v>
      </c>
      <c r="Q159" t="n">
        <v>-100</v>
      </c>
      <c r="R159" t="n">
        <v>0.2844</v>
      </c>
      <c r="S159">
        <f>IMAGE("https://mitra.stanford.edu/kundaje/oak/projects/neuro-variants/variant_position/credible/roussos_2024/variant_figures/roussos_2024.childhood.GLU/rs11210207_count_position.png",4,220,900)</f>
        <v/>
      </c>
      <c r="T159">
        <f>IMAGE("https://mitra.stanford.edu/kundaje/oak/projects/neuro-variants/variant_position/credible/roussos_2024/variant_figures/roussos_2024.childhood.GLU/rs11210207_profile_position.png",4,220,900)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-0.06252289359999991</v>
      </c>
      <c r="G160" t="n">
        <v>0.1357734599900791</v>
      </c>
      <c r="H160" t="n">
        <v>0.0236646410583574</v>
      </c>
      <c r="I160" t="n">
        <v>0.0569477296246808</v>
      </c>
      <c r="J160" t="n">
        <v>0.0037561684197512</v>
      </c>
      <c r="K160" t="n">
        <v>0.7057231387222986</v>
      </c>
      <c r="L160" t="b">
        <v>0</v>
      </c>
      <c r="M160" t="b">
        <v>0</v>
      </c>
      <c r="N160" t="inlineStr">
        <is>
          <t>ref</t>
        </is>
      </c>
      <c r="O160" t="n">
        <v>-100</v>
      </c>
      <c r="P160" t="n">
        <v>0.00838</v>
      </c>
      <c r="Q160" t="n">
        <v>-55</v>
      </c>
      <c r="R160" t="n">
        <v>0.05908</v>
      </c>
      <c r="S160">
        <f>IMAGE("https://mitra.stanford.edu/kundaje/oak/projects/neuro-variants/variant_position/credible/roussos_2024/variant_figures/roussos_2024.childhood.GLU/rs7517355_count_position.png",4,220,900)</f>
        <v/>
      </c>
      <c r="T160">
        <f>IMAGE("https://mitra.stanford.edu/kundaje/oak/projects/neuro-variants/variant_position/credible/roussos_2024/variant_figures/roussos_2024.childhood.GLU/rs7517355_profile_position.png",4,220,900)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-0.0009116020325999</v>
      </c>
      <c r="G161" t="n">
        <v>0.9245146208075256</v>
      </c>
      <c r="H161" t="n">
        <v>0.0242457912046546</v>
      </c>
      <c r="I161" t="n">
        <v>0.0490049622485924</v>
      </c>
      <c r="J161" t="n">
        <v>0.0221032894804619</v>
      </c>
      <c r="K161" t="n">
        <v>0.4814589392742952</v>
      </c>
      <c r="L161" t="b">
        <v>0</v>
      </c>
      <c r="M161" t="b">
        <v>0</v>
      </c>
      <c r="N161" t="inlineStr">
        <is>
          <t>ref</t>
        </is>
      </c>
      <c r="O161" t="n">
        <v>-100</v>
      </c>
      <c r="P161" t="n">
        <v>0.01724</v>
      </c>
      <c r="Q161" t="n">
        <v>-100</v>
      </c>
      <c r="R161" t="n">
        <v>0.2072</v>
      </c>
      <c r="S161">
        <f>IMAGE("https://mitra.stanford.edu/kundaje/oak/projects/neuro-variants/variant_position/credible/roussos_2024/variant_figures/roussos_2024.childhood.GLU/rs10732841_count_position.png",4,220,900)</f>
        <v/>
      </c>
      <c r="T161">
        <f>IMAGE("https://mitra.stanford.edu/kundaje/oak/projects/neuro-variants/variant_position/credible/roussos_2024/variant_figures/roussos_2024.childhood.GLU/rs10732841_profile_position.png",4,220,900)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0.0279253699999999</v>
      </c>
      <c r="G162" t="n">
        <v>0.3376183010885041</v>
      </c>
      <c r="H162" t="n">
        <v>0.0111038200819867</v>
      </c>
      <c r="I162" t="n">
        <v>0.5375445748706995</v>
      </c>
      <c r="J162" t="n">
        <v>0.2434112520217993</v>
      </c>
      <c r="K162" t="n">
        <v>0.124383357363757</v>
      </c>
      <c r="L162" t="b">
        <v>0</v>
      </c>
      <c r="M162" t="b">
        <v>0</v>
      </c>
      <c r="N162" t="inlineStr">
        <is>
          <t>alt</t>
        </is>
      </c>
      <c r="O162" t="n">
        <v>-100</v>
      </c>
      <c r="P162" t="n">
        <v>0.002779</v>
      </c>
      <c r="Q162" t="n">
        <v>-100</v>
      </c>
      <c r="R162" t="n">
        <v>0.099</v>
      </c>
      <c r="S162">
        <f>IMAGE("https://mitra.stanford.edu/kundaje/oak/projects/neuro-variants/variant_position/credible/roussos_2024/variant_figures/roussos_2024.childhood.GLU/rs1885247_count_position.png",4,220,900)</f>
        <v/>
      </c>
      <c r="T162">
        <f>IMAGE("https://mitra.stanford.edu/kundaje/oak/projects/neuro-variants/variant_position/credible/roussos_2024/variant_figures/roussos_2024.childhood.GLU/rs1885247_profile_position.png",4,220,900)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-0.0852334456</v>
      </c>
      <c r="G163" t="n">
        <v>0.0680054711502186</v>
      </c>
      <c r="H163" t="n">
        <v>0.0145544322780902</v>
      </c>
      <c r="I163" t="n">
        <v>0.2747246625146595</v>
      </c>
      <c r="J163" t="n">
        <v>0.015458394717051</v>
      </c>
      <c r="K163" t="n">
        <v>0.5447619204428524</v>
      </c>
      <c r="L163" t="b">
        <v>0</v>
      </c>
      <c r="M163" t="b">
        <v>0</v>
      </c>
      <c r="N163" t="inlineStr">
        <is>
          <t>ref</t>
        </is>
      </c>
      <c r="O163" t="n">
        <v>-95</v>
      </c>
      <c r="P163" t="n">
        <v>0.003254</v>
      </c>
      <c r="Q163" t="n">
        <v>-50</v>
      </c>
      <c r="R163" t="n">
        <v>0.09143</v>
      </c>
      <c r="S163">
        <f>IMAGE("https://mitra.stanford.edu/kundaje/oak/projects/neuro-variants/variant_position/credible/roussos_2024/variant_figures/roussos_2024.childhood.GLU/rs2208565_count_position.png",4,220,900)</f>
        <v/>
      </c>
      <c r="T163">
        <f>IMAGE("https://mitra.stanford.edu/kundaje/oak/projects/neuro-variants/variant_position/credible/roussos_2024/variant_figures/roussos_2024.childhood.GLU/rs2208565_profile_position.png",4,220,900)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0.06952799279999999</v>
      </c>
      <c r="G164" t="n">
        <v>0.09409341403206389</v>
      </c>
      <c r="H164" t="n">
        <v>0.0099350512185233</v>
      </c>
      <c r="I164" t="n">
        <v>0.654675333585726</v>
      </c>
      <c r="J164" t="n">
        <v>0.0012208062472312</v>
      </c>
      <c r="K164" t="n">
        <v>0.8130711393692358</v>
      </c>
      <c r="L164" t="b">
        <v>0</v>
      </c>
      <c r="M164" t="b">
        <v>0</v>
      </c>
      <c r="N164" t="inlineStr">
        <is>
          <t>alt</t>
        </is>
      </c>
      <c r="O164" t="n">
        <v>-65</v>
      </c>
      <c r="P164" t="n">
        <v>0.03717</v>
      </c>
      <c r="Q164" t="n">
        <v>-60</v>
      </c>
      <c r="R164" t="n">
        <v>0.17</v>
      </c>
      <c r="S164">
        <f>IMAGE("https://mitra.stanford.edu/kundaje/oak/projects/neuro-variants/variant_position/credible/roussos_2024/variant_figures/roussos_2024.childhood.GLU/rs2340399_count_position.png",4,220,900)</f>
        <v/>
      </c>
      <c r="T164">
        <f>IMAGE("https://mitra.stanford.edu/kundaje/oak/projects/neuro-variants/variant_position/credible/roussos_2024/variant_figures/roussos_2024.childhood.GLU/rs2340399_profile_position.png",4,220,900)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-0.0762238835999999</v>
      </c>
      <c r="G165" t="n">
        <v>0.08466538148405769</v>
      </c>
      <c r="H165" t="n">
        <v>0.009230710654579</v>
      </c>
      <c r="I165" t="n">
        <v>0.7317854133696103</v>
      </c>
      <c r="J165" t="n">
        <v>0.001450544469284</v>
      </c>
      <c r="K165" t="n">
        <v>0.7948646787537862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0.0401</v>
      </c>
      <c r="Q165" t="n">
        <v>95</v>
      </c>
      <c r="R165" t="n">
        <v>0.05237</v>
      </c>
      <c r="S165">
        <f>IMAGE("https://mitra.stanford.edu/kundaje/oak/projects/neuro-variants/variant_position/credible/roussos_2024/variant_figures/roussos_2024.childhood.GLU/rs10890034_count_position.png",4,220,900)</f>
        <v/>
      </c>
      <c r="T165">
        <f>IMAGE("https://mitra.stanford.edu/kundaje/oak/projects/neuro-variants/variant_position/credible/roussos_2024/variant_figures/roussos_2024.childhood.GLU/rs10890034_profile_position.png",4,220,900)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0.0064669315</v>
      </c>
      <c r="G166" t="n">
        <v>0.7453244743158314</v>
      </c>
      <c r="H166" t="n">
        <v>0.0065918648910601</v>
      </c>
      <c r="I166" t="n">
        <v>0.9521162689440192</v>
      </c>
      <c r="J166" t="n">
        <v>0.0005975254205857</v>
      </c>
      <c r="K166" t="n">
        <v>0.8633398639455538</v>
      </c>
      <c r="L166" t="b">
        <v>0</v>
      </c>
      <c r="M166" t="b">
        <v>0</v>
      </c>
      <c r="N166" t="inlineStr">
        <is>
          <t>alt</t>
        </is>
      </c>
      <c r="O166" t="n">
        <v>85</v>
      </c>
      <c r="P166" t="n">
        <v>0.005184</v>
      </c>
      <c r="Q166" t="n">
        <v>-100</v>
      </c>
      <c r="R166" t="n">
        <v>0.03595</v>
      </c>
      <c r="S166">
        <f>IMAGE("https://mitra.stanford.edu/kundaje/oak/projects/neuro-variants/variant_position/credible/roussos_2024/variant_figures/roussos_2024.childhood.GLU/rs6689032_count_position.png",4,220,900)</f>
        <v/>
      </c>
      <c r="T166">
        <f>IMAGE("https://mitra.stanford.edu/kundaje/oak/projects/neuro-variants/variant_position/credible/roussos_2024/variant_figures/roussos_2024.childhood.GLU/rs6689032_profile_position.png",4,220,900)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0.0311589096999999</v>
      </c>
      <c r="G167" t="n">
        <v>0.3267164346199708</v>
      </c>
      <c r="H167" t="n">
        <v>0.0296599380583779</v>
      </c>
      <c r="I167" t="n">
        <v>0.0230168047077901</v>
      </c>
      <c r="J167" t="n">
        <v>0.2098777133320283</v>
      </c>
      <c r="K167" t="n">
        <v>0.1413720196515643</v>
      </c>
      <c r="L167" t="b">
        <v>0</v>
      </c>
      <c r="M167" t="b">
        <v>0</v>
      </c>
      <c r="N167" t="inlineStr">
        <is>
          <t>alt</t>
        </is>
      </c>
      <c r="O167" t="n">
        <v>-55</v>
      </c>
      <c r="P167" t="n">
        <v>0.0484</v>
      </c>
      <c r="Q167" t="n">
        <v>-100</v>
      </c>
      <c r="R167" t="n">
        <v>0.523</v>
      </c>
      <c r="S167">
        <f>IMAGE("https://mitra.stanford.edu/kundaje/oak/projects/neuro-variants/variant_position/credible/roussos_2024/variant_figures/roussos_2024.childhood.GLU/rs1923228_count_position.png",4,220,900)</f>
        <v/>
      </c>
      <c r="T167">
        <f>IMAGE("https://mitra.stanford.edu/kundaje/oak/projects/neuro-variants/variant_position/credible/roussos_2024/variant_figures/roussos_2024.childhood.GLU/rs1923228_profile_position.png",4,220,900)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-0.00845161604</v>
      </c>
      <c r="G168" t="n">
        <v>0.7049727745802022</v>
      </c>
      <c r="H168" t="n">
        <v>0.0151231244793219</v>
      </c>
      <c r="I168" t="n">
        <v>0.2406614903016975</v>
      </c>
      <c r="J168" t="n">
        <v>0.0002493123306581</v>
      </c>
      <c r="K168" t="n">
        <v>0.9094052165821236</v>
      </c>
      <c r="L168" t="b">
        <v>0</v>
      </c>
      <c r="M168" t="b">
        <v>0</v>
      </c>
      <c r="N168" t="inlineStr">
        <is>
          <t>ref</t>
        </is>
      </c>
      <c r="O168" t="n">
        <v>-45</v>
      </c>
      <c r="P168" t="n">
        <v>0.004166</v>
      </c>
      <c r="Q168" t="n">
        <v>50</v>
      </c>
      <c r="R168" t="n">
        <v>0.0447</v>
      </c>
      <c r="S168">
        <f>IMAGE("https://mitra.stanford.edu/kundaje/oak/projects/neuro-variants/variant_position/credible/roussos_2024/variant_figures/roussos_2024.childhood.GLU/rs11210227_count_position.png",4,220,900)</f>
        <v/>
      </c>
      <c r="T168">
        <f>IMAGE("https://mitra.stanford.edu/kundaje/oak/projects/neuro-variants/variant_position/credible/roussos_2024/variant_figures/roussos_2024.childhood.GLU/rs11210227_profile_position.png",4,220,900)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0.088040596</v>
      </c>
      <c r="G169" t="n">
        <v>0.0601184884209002</v>
      </c>
      <c r="H169" t="n">
        <v>0.0393894475158439</v>
      </c>
      <c r="I169" t="n">
        <v>0.0070445886931632</v>
      </c>
      <c r="J169" t="n">
        <v>0.0395654547889601</v>
      </c>
      <c r="K169" t="n">
        <v>0.4054625290419115</v>
      </c>
      <c r="L169" t="b">
        <v>1</v>
      </c>
      <c r="M169" t="b">
        <v>0</v>
      </c>
      <c r="N169" t="inlineStr">
        <is>
          <t>alt</t>
        </is>
      </c>
      <c r="O169" t="n">
        <v>-85</v>
      </c>
      <c r="P169" t="n">
        <v>0.01191</v>
      </c>
      <c r="Q169" t="n">
        <v>85</v>
      </c>
      <c r="R169" t="n">
        <v>0.11084</v>
      </c>
      <c r="S169">
        <f>IMAGE("https://mitra.stanford.edu/kundaje/oak/projects/neuro-variants/variant_position/credible/roussos_2024/variant_figures/roussos_2024.childhood.GLU/rs55994666_count_position.png",4,220,900)</f>
        <v/>
      </c>
      <c r="T169">
        <f>IMAGE("https://mitra.stanford.edu/kundaje/oak/projects/neuro-variants/variant_position/credible/roussos_2024/variant_figures/roussos_2024.childhood.GLU/rs55994666_profile_position.png",4,220,900)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0.0390799315999999</v>
      </c>
      <c r="G170" t="n">
        <v>0.2455592940559796</v>
      </c>
      <c r="H170" t="n">
        <v>0.0200148670670033</v>
      </c>
      <c r="I170" t="n">
        <v>0.0982250873718712</v>
      </c>
      <c r="J170" t="n">
        <v>0.008407594754138799</v>
      </c>
      <c r="K170" t="n">
        <v>0.6075071674175354</v>
      </c>
      <c r="L170" t="b">
        <v>0</v>
      </c>
      <c r="M170" t="b">
        <v>0</v>
      </c>
      <c r="N170" t="inlineStr">
        <is>
          <t>alt</t>
        </is>
      </c>
      <c r="O170" t="n">
        <v>-65</v>
      </c>
      <c r="P170" t="n">
        <v>0.0047</v>
      </c>
      <c r="Q170" t="n">
        <v>100</v>
      </c>
      <c r="R170" t="n">
        <v>0.0983</v>
      </c>
      <c r="S170">
        <f>IMAGE("https://mitra.stanford.edu/kundaje/oak/projects/neuro-variants/variant_position/credible/roussos_2024/variant_figures/roussos_2024.childhood.GLU/rs11210258_count_position.png",4,220,900)</f>
        <v/>
      </c>
      <c r="T170">
        <f>IMAGE("https://mitra.stanford.edu/kundaje/oak/projects/neuro-variants/variant_position/credible/roussos_2024/variant_figures/roussos_2024.childhood.GLU/rs11210258_profile_position.png",4,220,900)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0.0003591470999999</v>
      </c>
      <c r="G171" t="n">
        <v>0.8179232501817151</v>
      </c>
      <c r="H171" t="n">
        <v>0.0210021852194352</v>
      </c>
      <c r="I171" t="n">
        <v>0.0831316523248757</v>
      </c>
      <c r="J171" t="n">
        <v>0.0024972441715515</v>
      </c>
      <c r="K171" t="n">
        <v>0.746842563378153</v>
      </c>
      <c r="L171" t="b">
        <v>0</v>
      </c>
      <c r="M171" t="b">
        <v>0</v>
      </c>
      <c r="N171" t="inlineStr">
        <is>
          <t>alt</t>
        </is>
      </c>
      <c r="O171" t="n">
        <v>-50</v>
      </c>
      <c r="P171" t="n">
        <v>0.01308</v>
      </c>
      <c r="Q171" t="n">
        <v>-55</v>
      </c>
      <c r="R171" t="n">
        <v>0.1246</v>
      </c>
      <c r="S171">
        <f>IMAGE("https://mitra.stanford.edu/kundaje/oak/projects/neuro-variants/variant_position/credible/roussos_2024/variant_figures/roussos_2024.childhood.GLU/rs1546271_count_position.png",4,220,900)</f>
        <v/>
      </c>
      <c r="T171">
        <f>IMAGE("https://mitra.stanford.edu/kundaje/oak/projects/neuro-variants/variant_position/credible/roussos_2024/variant_figures/roussos_2024.childhood.GLU/rs1546271_profile_position.png",4,220,900)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-0.185430776</v>
      </c>
      <c r="G172" t="n">
        <v>0.0109610242727465</v>
      </c>
      <c r="H172" t="n">
        <v>0.0362968623189416</v>
      </c>
      <c r="I172" t="n">
        <v>0.0105504210792309</v>
      </c>
      <c r="J172" t="n">
        <v>0.1885099982486323</v>
      </c>
      <c r="K172" t="n">
        <v>0.1550710270226815</v>
      </c>
      <c r="L172" t="b">
        <v>1</v>
      </c>
      <c r="M172" t="b">
        <v>0</v>
      </c>
      <c r="N172" t="inlineStr">
        <is>
          <t>ref</t>
        </is>
      </c>
      <c r="O172" t="n">
        <v>50</v>
      </c>
      <c r="P172" t="n">
        <v>0.02979</v>
      </c>
      <c r="Q172" t="n">
        <v>100</v>
      </c>
      <c r="R172" t="n">
        <v>0.2983</v>
      </c>
      <c r="S172">
        <f>IMAGE("https://mitra.stanford.edu/kundaje/oak/projects/neuro-variants/variant_position/credible/roussos_2024/variant_figures/roussos_2024.childhood.GLU/rs11210274_count_position.png",4,220,900)</f>
        <v/>
      </c>
      <c r="T172">
        <f>IMAGE("https://mitra.stanford.edu/kundaje/oak/projects/neuro-variants/variant_position/credible/roussos_2024/variant_figures/roussos_2024.childhood.GLU/rs11210274_profile_position.png",4,220,900)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0.0004465271799999</v>
      </c>
      <c r="G173" t="n">
        <v>0.7813568713894175</v>
      </c>
      <c r="H173" t="n">
        <v>0.0183534773571043</v>
      </c>
      <c r="I173" t="n">
        <v>0.1349776171099404</v>
      </c>
      <c r="J173" t="n">
        <v>0.0228151689039528</v>
      </c>
      <c r="K173" t="n">
        <v>0.4838939586286855</v>
      </c>
      <c r="L173" t="b">
        <v>0</v>
      </c>
      <c r="M173" t="b">
        <v>0</v>
      </c>
      <c r="N173" t="inlineStr">
        <is>
          <t>alt</t>
        </is>
      </c>
      <c r="O173" t="n">
        <v>-100</v>
      </c>
      <c r="P173" t="n">
        <v>0.02808</v>
      </c>
      <c r="Q173" t="n">
        <v>-25</v>
      </c>
      <c r="R173" t="n">
        <v>0.02228</v>
      </c>
      <c r="S173">
        <f>IMAGE("https://mitra.stanford.edu/kundaje/oak/projects/neuro-variants/variant_position/credible/roussos_2024/variant_figures/roussos_2024.childhood.GLU/rs12042444_count_position.png",4,220,900)</f>
        <v/>
      </c>
      <c r="T173">
        <f>IMAGE("https://mitra.stanford.edu/kundaje/oak/projects/neuro-variants/variant_position/credible/roussos_2024/variant_figures/roussos_2024.childhood.GLU/rs12042444_profile_position.png",4,220,900)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-0.1266696843999999</v>
      </c>
      <c r="G174" t="n">
        <v>0.052347465866574</v>
      </c>
      <c r="H174" t="n">
        <v>0.0337177849582663</v>
      </c>
      <c r="I174" t="n">
        <v>0.0191755932447001</v>
      </c>
      <c r="J174" t="n">
        <v>0.018380087980467</v>
      </c>
      <c r="K174" t="n">
        <v>0.5031450243917026</v>
      </c>
      <c r="L174" t="b">
        <v>1</v>
      </c>
      <c r="M174" t="b">
        <v>0</v>
      </c>
      <c r="N174" t="inlineStr">
        <is>
          <t>ref</t>
        </is>
      </c>
      <c r="O174" t="n">
        <v>-15</v>
      </c>
      <c r="P174" t="n">
        <v>0.002533</v>
      </c>
      <c r="Q174" t="n">
        <v>-15</v>
      </c>
      <c r="R174" t="n">
        <v>0.0824</v>
      </c>
      <c r="S174">
        <f>IMAGE("https://mitra.stanford.edu/kundaje/oak/projects/neuro-variants/variant_position/credible/roussos_2024/variant_figures/roussos_2024.childhood.GLU/rs5006353_count_position.png",4,220,900)</f>
        <v/>
      </c>
      <c r="T174">
        <f>IMAGE("https://mitra.stanford.edu/kundaje/oak/projects/neuro-variants/variant_position/credible/roussos_2024/variant_figures/roussos_2024.childhood.GLU/rs5006353_profile_position.png",4,220,900)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-0.0428907384</v>
      </c>
      <c r="G175" t="n">
        <v>0.2401273814669244</v>
      </c>
      <c r="H175" t="n">
        <v>0.0260323961171563</v>
      </c>
      <c r="I175" t="n">
        <v>0.0379820402147846</v>
      </c>
      <c r="J175" t="n">
        <v>0.1939722047657803</v>
      </c>
      <c r="K175" t="n">
        <v>0.1512450604338161</v>
      </c>
      <c r="L175" t="b">
        <v>0</v>
      </c>
      <c r="M175" t="b">
        <v>0</v>
      </c>
      <c r="N175" t="inlineStr">
        <is>
          <t>ref</t>
        </is>
      </c>
      <c r="O175" t="n">
        <v>95</v>
      </c>
      <c r="P175" t="n">
        <v>0.04358</v>
      </c>
      <c r="Q175" t="n">
        <v>100</v>
      </c>
      <c r="R175" t="n">
        <v>0.3633</v>
      </c>
      <c r="S175">
        <f>IMAGE("https://mitra.stanford.edu/kundaje/oak/projects/neuro-variants/variant_position/credible/roussos_2024/variant_figures/roussos_2024.childhood.GLU/rs17577938_count_position.png",4,220,900)</f>
        <v/>
      </c>
      <c r="T175">
        <f>IMAGE("https://mitra.stanford.edu/kundaje/oak/projects/neuro-variants/variant_position/credible/roussos_2024/variant_figures/roussos_2024.childhood.GLU/rs17577938_profile_position.png",4,220,900)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-0.025805922</v>
      </c>
      <c r="G176" t="n">
        <v>0.3858078886311448</v>
      </c>
      <c r="H176" t="n">
        <v>0.0102651070589141</v>
      </c>
      <c r="I176" t="n">
        <v>0.6266304828892577</v>
      </c>
      <c r="J176" t="n">
        <v>0.0340125892424819</v>
      </c>
      <c r="K176" t="n">
        <v>0.4139428535974258</v>
      </c>
      <c r="L176" t="b">
        <v>0</v>
      </c>
      <c r="M176" t="b">
        <v>0</v>
      </c>
      <c r="N176" t="inlineStr">
        <is>
          <t>ref</t>
        </is>
      </c>
      <c r="O176" t="n">
        <v>-40</v>
      </c>
      <c r="P176" t="n">
        <v>0.03143</v>
      </c>
      <c r="Q176" t="n">
        <v>-95</v>
      </c>
      <c r="R176" t="n">
        <v>0.11304</v>
      </c>
      <c r="S176">
        <f>IMAGE("https://mitra.stanford.edu/kundaje/oak/projects/neuro-variants/variant_position/credible/roussos_2024/variant_figures/roussos_2024.childhood.GLU/rs761406_count_position.png",4,220,900)</f>
        <v/>
      </c>
      <c r="T176">
        <f>IMAGE("https://mitra.stanford.edu/kundaje/oak/projects/neuro-variants/variant_position/credible/roussos_2024/variant_figures/roussos_2024.childhood.GLU/rs761406_profile_position.png",4,220,900)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0.07858793439999991</v>
      </c>
      <c r="G177" t="n">
        <v>0.0783964591658617</v>
      </c>
      <c r="H177" t="n">
        <v>0.0132220113948677</v>
      </c>
      <c r="I177" t="n">
        <v>0.3566047926029151</v>
      </c>
      <c r="J177" t="n">
        <v>0.1192980106524359</v>
      </c>
      <c r="K177" t="n">
        <v>0.2200716556607251</v>
      </c>
      <c r="L177" t="b">
        <v>0</v>
      </c>
      <c r="M177" t="b">
        <v>0</v>
      </c>
      <c r="N177" t="inlineStr">
        <is>
          <t>alt</t>
        </is>
      </c>
      <c r="O177" t="n">
        <v>25</v>
      </c>
      <c r="P177" t="n">
        <v>0.002884</v>
      </c>
      <c r="Q177" t="n">
        <v>-100</v>
      </c>
      <c r="R177" t="n">
        <v>0.08373999999999999</v>
      </c>
      <c r="S177">
        <f>IMAGE("https://mitra.stanford.edu/kundaje/oak/projects/neuro-variants/variant_position/credible/roussos_2024/variant_figures/roussos_2024.childhood.GLU/rs12756558_count_position.png",4,220,900)</f>
        <v/>
      </c>
      <c r="T177">
        <f>IMAGE("https://mitra.stanford.edu/kundaje/oak/projects/neuro-variants/variant_position/credible/roussos_2024/variant_figures/roussos_2024.childhood.GLU/rs12756558_profile_position.png",4,220,900)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0.107725776</v>
      </c>
      <c r="G178" t="n">
        <v>0.0402526197632196</v>
      </c>
      <c r="H178" t="n">
        <v>0.0236112941732632</v>
      </c>
      <c r="I178" t="n">
        <v>0.0571038649582537</v>
      </c>
      <c r="J178" t="n">
        <v>0.017318965250806</v>
      </c>
      <c r="K178" t="n">
        <v>0.5085892427454822</v>
      </c>
      <c r="L178" t="b">
        <v>0</v>
      </c>
      <c r="M178" t="b">
        <v>0</v>
      </c>
      <c r="N178" t="inlineStr">
        <is>
          <t>alt</t>
        </is>
      </c>
      <c r="O178" t="n">
        <v>-100</v>
      </c>
      <c r="P178" t="n">
        <v>0.04993</v>
      </c>
      <c r="Q178" t="n">
        <v>-95</v>
      </c>
      <c r="R178" t="n">
        <v>0.3225</v>
      </c>
      <c r="S178">
        <f>IMAGE("https://mitra.stanford.edu/kundaje/oak/projects/neuro-variants/variant_position/credible/roussos_2024/variant_figures/roussos_2024.childhood.GLU/rs12071951_count_position.png",4,220,900)</f>
        <v/>
      </c>
      <c r="T178">
        <f>IMAGE("https://mitra.stanford.edu/kundaje/oak/projects/neuro-variants/variant_position/credible/roussos_2024/variant_figures/roussos_2024.childhood.GLU/rs12071951_profile_position.png",4,220,900)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-0.0041744161799999</v>
      </c>
      <c r="G179" t="n">
        <v>0.8506661072271137</v>
      </c>
      <c r="H179" t="n">
        <v>0.00835638086104</v>
      </c>
      <c r="I179" t="n">
        <v>0.8260145297254996</v>
      </c>
      <c r="J179" t="n">
        <v>0.0047431155799601</v>
      </c>
      <c r="K179" t="n">
        <v>0.6928724284026283</v>
      </c>
      <c r="L179" t="b">
        <v>0</v>
      </c>
      <c r="M179" t="b">
        <v>0</v>
      </c>
      <c r="N179" t="inlineStr">
        <is>
          <t>ref</t>
        </is>
      </c>
      <c r="O179" t="n">
        <v>-95</v>
      </c>
      <c r="P179" t="n">
        <v>0.008789999999999999</v>
      </c>
      <c r="Q179" t="n">
        <v>100</v>
      </c>
      <c r="R179" t="n">
        <v>0.10034</v>
      </c>
      <c r="S179">
        <f>IMAGE("https://mitra.stanford.edu/kundaje/oak/projects/neuro-variants/variant_position/credible/roussos_2024/variant_figures/roussos_2024.childhood.GLU/rs7528506_count_position.png",4,220,900)</f>
        <v/>
      </c>
      <c r="T179">
        <f>IMAGE("https://mitra.stanford.edu/kundaje/oak/projects/neuro-variants/variant_position/credible/roussos_2024/variant_figures/roussos_2024.childhood.GLU/rs7528506_profile_position.png",4,220,900)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-0.119413693</v>
      </c>
      <c r="G180" t="n">
        <v>0.0306585113828161</v>
      </c>
      <c r="H180" t="n">
        <v>0.0353902026310744</v>
      </c>
      <c r="I180" t="n">
        <v>0.0113948198916459</v>
      </c>
      <c r="J180" t="n">
        <v>0.0264775876456467</v>
      </c>
      <c r="K180" t="n">
        <v>0.4518640030996004</v>
      </c>
      <c r="L180" t="b">
        <v>1</v>
      </c>
      <c r="M180" t="b">
        <v>0</v>
      </c>
      <c r="N180" t="inlineStr">
        <is>
          <t>ref</t>
        </is>
      </c>
      <c r="O180" t="n">
        <v>20</v>
      </c>
      <c r="P180" t="n">
        <v>0.004913</v>
      </c>
      <c r="Q180" t="n">
        <v>95</v>
      </c>
      <c r="R180" t="n">
        <v>0.1619</v>
      </c>
      <c r="S180">
        <f>IMAGE("https://mitra.stanford.edu/kundaje/oak/projects/neuro-variants/variant_position/credible/roussos_2024/variant_figures/roussos_2024.childhood.GLU/rs59012322_count_position.png",4,220,900)</f>
        <v/>
      </c>
      <c r="T180">
        <f>IMAGE("https://mitra.stanford.edu/kundaje/oak/projects/neuro-variants/variant_position/credible/roussos_2024/variant_figures/roussos_2024.childhood.GLU/rs59012322_profile_position.png",4,220,900)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0.0006490007600000001</v>
      </c>
      <c r="G181" t="n">
        <v>0.8401399606896861</v>
      </c>
      <c r="H181" t="n">
        <v>0.0125462722246134</v>
      </c>
      <c r="I181" t="n">
        <v>0.4081765850022079</v>
      </c>
      <c r="J181" t="n">
        <v>0.0487488023736181</v>
      </c>
      <c r="K181" t="n">
        <v>0.3614431139153596</v>
      </c>
      <c r="L181" t="b">
        <v>0</v>
      </c>
      <c r="M181" t="b">
        <v>0</v>
      </c>
      <c r="N181" t="inlineStr">
        <is>
          <t>alt</t>
        </is>
      </c>
      <c r="O181" t="n">
        <v>100</v>
      </c>
      <c r="P181" t="n">
        <v>0.001118</v>
      </c>
      <c r="Q181" t="n">
        <v>-90</v>
      </c>
      <c r="R181" t="n">
        <v>0.09229999999999999</v>
      </c>
      <c r="S181">
        <f>IMAGE("https://mitra.stanford.edu/kundaje/oak/projects/neuro-variants/variant_position/credible/roussos_2024/variant_figures/roussos_2024.childhood.GLU/rs6659919_count_position.png",4,220,900)</f>
        <v/>
      </c>
      <c r="T181">
        <f>IMAGE("https://mitra.stanford.edu/kundaje/oak/projects/neuro-variants/variant_position/credible/roussos_2024/variant_figures/roussos_2024.childhood.GLU/rs6659919_profile_position.png",4,220,900)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0.0516374506</v>
      </c>
      <c r="G182" t="n">
        <v>0.1643231476319176</v>
      </c>
      <c r="H182" t="n">
        <v>0.012604427239701</v>
      </c>
      <c r="I182" t="n">
        <v>0.3998523457249326</v>
      </c>
      <c r="J182" t="n">
        <v>6.181297454335665e-06</v>
      </c>
      <c r="K182" t="n">
        <v>0.9977180110642808</v>
      </c>
      <c r="L182" t="b">
        <v>0</v>
      </c>
      <c r="M182" t="b">
        <v>0</v>
      </c>
      <c r="N182" t="inlineStr">
        <is>
          <t>alt</t>
        </is>
      </c>
      <c r="O182" t="n">
        <v>-90</v>
      </c>
      <c r="P182" t="n">
        <v>0.00383</v>
      </c>
      <c r="Q182" t="n">
        <v>-80</v>
      </c>
      <c r="R182" t="n">
        <v>0.0674</v>
      </c>
      <c r="S182">
        <f>IMAGE("https://mitra.stanford.edu/kundaje/oak/projects/neuro-variants/variant_position/credible/roussos_2024/variant_figures/roussos_2024.childhood.GLU/rs12042074_count_position.png",4,220,900)</f>
        <v/>
      </c>
      <c r="T182">
        <f>IMAGE("https://mitra.stanford.edu/kundaje/oak/projects/neuro-variants/variant_position/credible/roussos_2024/variant_figures/roussos_2024.childhood.GLU/rs12042074_profile_position.png",4,220,900)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0.1595952289999999</v>
      </c>
      <c r="G183" t="n">
        <v>0.0163161116805528</v>
      </c>
      <c r="H183" t="n">
        <v>0.0262577100369043</v>
      </c>
      <c r="I183" t="n">
        <v>0.0386971682991811</v>
      </c>
      <c r="J183" t="n">
        <v>0.0107245510832723</v>
      </c>
      <c r="K183" t="n">
        <v>0.5835256006037861</v>
      </c>
      <c r="L183" t="b">
        <v>1</v>
      </c>
      <c r="M183" t="b">
        <v>0</v>
      </c>
      <c r="N183" t="inlineStr">
        <is>
          <t>alt</t>
        </is>
      </c>
      <c r="O183" t="n">
        <v>95</v>
      </c>
      <c r="P183" t="n">
        <v>0.00522</v>
      </c>
      <c r="Q183" t="n">
        <v>90</v>
      </c>
      <c r="R183" t="n">
        <v>0.04846</v>
      </c>
      <c r="S183">
        <f>IMAGE("https://mitra.stanford.edu/kundaje/oak/projects/neuro-variants/variant_position/credible/roussos_2024/variant_figures/roussos_2024.childhood.GLU/rs6688086_count_position.png",4,220,900)</f>
        <v/>
      </c>
      <c r="T183">
        <f>IMAGE("https://mitra.stanford.edu/kundaje/oak/projects/neuro-variants/variant_position/credible/roussos_2024/variant_figures/roussos_2024.childhood.GLU/rs6688086_profile_position.png",4,220,900)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-0.0786011454</v>
      </c>
      <c r="G184" t="n">
        <v>0.07715509891684801</v>
      </c>
      <c r="H184" t="n">
        <v>0.0105636663454683</v>
      </c>
      <c r="I184" t="n">
        <v>0.6013950532037198</v>
      </c>
      <c r="J184" t="n">
        <v>0.0441282825265022</v>
      </c>
      <c r="K184" t="n">
        <v>0.3733374239173606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0.01422</v>
      </c>
      <c r="Q184" t="n">
        <v>-45</v>
      </c>
      <c r="R184" t="n">
        <v>0.0166</v>
      </c>
      <c r="S184">
        <f>IMAGE("https://mitra.stanford.edu/kundaje/oak/projects/neuro-variants/variant_position/credible/roussos_2024/variant_figures/roussos_2024.childhood.GLU/rs12027165_count_position.png",4,220,900)</f>
        <v/>
      </c>
      <c r="T184">
        <f>IMAGE("https://mitra.stanford.edu/kundaje/oak/projects/neuro-variants/variant_position/credible/roussos_2024/variant_figures/roussos_2024.childhood.GLU/rs12027165_profile_position.png",4,220,900)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0.0450000283999999</v>
      </c>
      <c r="G185" t="n">
        <v>0.1994573643734686</v>
      </c>
      <c r="H185" t="n">
        <v>0.0103366906545552</v>
      </c>
      <c r="I185" t="n">
        <v>0.6274340147984784</v>
      </c>
      <c r="J185" t="n">
        <v>0.004433020491001</v>
      </c>
      <c r="K185" t="n">
        <v>0.6864250661691561</v>
      </c>
      <c r="L185" t="b">
        <v>0</v>
      </c>
      <c r="M185" t="b">
        <v>0</v>
      </c>
      <c r="N185" t="inlineStr">
        <is>
          <t>alt</t>
        </is>
      </c>
      <c r="O185" t="n">
        <v>-95</v>
      </c>
      <c r="P185" t="n">
        <v>0.0115</v>
      </c>
      <c r="Q185" t="n">
        <v>-25</v>
      </c>
      <c r="R185" t="n">
        <v>0.06744</v>
      </c>
      <c r="S185">
        <f>IMAGE("https://mitra.stanford.edu/kundaje/oak/projects/neuro-variants/variant_position/credible/roussos_2024/variant_figures/roussos_2024.childhood.GLU/rs1496116_count_position.png",4,220,900)</f>
        <v/>
      </c>
      <c r="T185">
        <f>IMAGE("https://mitra.stanford.edu/kundaje/oak/projects/neuro-variants/variant_position/credible/roussos_2024/variant_figures/roussos_2024.childhood.GLU/rs1496116_profile_position.png",4,220,900)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0.1128636958</v>
      </c>
      <c r="G186" t="n">
        <v>0.0331521581185323</v>
      </c>
      <c r="H186" t="n">
        <v>0.0179864180268556</v>
      </c>
      <c r="I186" t="n">
        <v>0.1487128749706639</v>
      </c>
      <c r="J186" t="n">
        <v>0.1731309301822451</v>
      </c>
      <c r="K186" t="n">
        <v>0.16897762041387</v>
      </c>
      <c r="L186" t="b">
        <v>0</v>
      </c>
      <c r="M186" t="b">
        <v>0</v>
      </c>
      <c r="N186" t="inlineStr">
        <is>
          <t>alt</t>
        </is>
      </c>
      <c r="O186" t="n">
        <v>-95</v>
      </c>
      <c r="P186" t="n">
        <v>0.00296</v>
      </c>
      <c r="Q186" t="n">
        <v>70</v>
      </c>
      <c r="R186" t="n">
        <v>0.07543999999999999</v>
      </c>
      <c r="S186">
        <f>IMAGE("https://mitra.stanford.edu/kundaje/oak/projects/neuro-variants/variant_position/credible/roussos_2024/variant_figures/roussos_2024.childhood.GLU/rs12031518_count_position.png",4,220,900)</f>
        <v/>
      </c>
      <c r="T186">
        <f>IMAGE("https://mitra.stanford.edu/kundaje/oak/projects/neuro-variants/variant_position/credible/roussos_2024/variant_figures/roussos_2024.childhood.GLU/rs12031518_profile_position.png",4,220,900)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0.00940059262</v>
      </c>
      <c r="G187" t="n">
        <v>0.6732715514329185</v>
      </c>
      <c r="H187" t="n">
        <v>0.0196715632054417</v>
      </c>
      <c r="I187" t="n">
        <v>0.1028254549340112</v>
      </c>
      <c r="J187" t="n">
        <v>0.003702597175147</v>
      </c>
      <c r="K187" t="n">
        <v>0.7024126907458603</v>
      </c>
      <c r="L187" t="b">
        <v>0</v>
      </c>
      <c r="M187" t="b">
        <v>0</v>
      </c>
      <c r="N187" t="inlineStr">
        <is>
          <t>alt</t>
        </is>
      </c>
      <c r="O187" t="n">
        <v>65</v>
      </c>
      <c r="P187" t="n">
        <v>0.00418</v>
      </c>
      <c r="Q187" t="n">
        <v>100</v>
      </c>
      <c r="R187" t="n">
        <v>0.1279</v>
      </c>
      <c r="S187">
        <f>IMAGE("https://mitra.stanford.edu/kundaje/oak/projects/neuro-variants/variant_position/credible/roussos_2024/variant_figures/roussos_2024.childhood.GLU/rs2132427_count_position.png",4,220,900)</f>
        <v/>
      </c>
      <c r="T187">
        <f>IMAGE("https://mitra.stanford.edu/kundaje/oak/projects/neuro-variants/variant_position/credible/roussos_2024/variant_figures/roussos_2024.childhood.GLU/rs2132427_profile_position.png",4,220,900)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-0.0119522561519999</v>
      </c>
      <c r="G188" t="n">
        <v>0.6307684394036925</v>
      </c>
      <c r="H188" t="n">
        <v>0.0104079216652827</v>
      </c>
      <c r="I188" t="n">
        <v>0.6097841528465406</v>
      </c>
      <c r="J188" t="n">
        <v>0.0028433968289943</v>
      </c>
      <c r="K188" t="n">
        <v>0.7484043512672359</v>
      </c>
      <c r="L188" t="b">
        <v>0</v>
      </c>
      <c r="M188" t="b">
        <v>0</v>
      </c>
      <c r="N188" t="inlineStr">
        <is>
          <t>ref</t>
        </is>
      </c>
      <c r="O188" t="n">
        <v>100</v>
      </c>
      <c r="P188" t="n">
        <v>0.01421</v>
      </c>
      <c r="Q188" t="n">
        <v>-15</v>
      </c>
      <c r="R188" t="n">
        <v>0.04034</v>
      </c>
      <c r="S188">
        <f>IMAGE("https://mitra.stanford.edu/kundaje/oak/projects/neuro-variants/variant_position/credible/roussos_2024/variant_figures/roussos_2024.childhood.GLU/rs10875035_count_position.png",4,220,900)</f>
        <v/>
      </c>
      <c r="T188">
        <f>IMAGE("https://mitra.stanford.edu/kundaje/oak/projects/neuro-variants/variant_position/credible/roussos_2024/variant_figures/roussos_2024.childhood.GLU/rs10875035_profile_position.png",4,220,900)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0.040391136</v>
      </c>
      <c r="G189" t="n">
        <v>0.1898343362370972</v>
      </c>
      <c r="H189" t="n">
        <v>0.0252371685218634</v>
      </c>
      <c r="I189" t="n">
        <v>0.0424886099578607</v>
      </c>
      <c r="J189" t="n">
        <v>0.1348419133176053</v>
      </c>
      <c r="K189" t="n">
        <v>0.2068635195842128</v>
      </c>
      <c r="L189" t="b">
        <v>0</v>
      </c>
      <c r="M189" t="b">
        <v>0</v>
      </c>
      <c r="N189" t="inlineStr">
        <is>
          <t>alt</t>
        </is>
      </c>
      <c r="O189" t="n">
        <v>100</v>
      </c>
      <c r="P189" t="n">
        <v>0.003067</v>
      </c>
      <c r="Q189" t="n">
        <v>-100</v>
      </c>
      <c r="R189" t="n">
        <v>0.06884999999999999</v>
      </c>
      <c r="S189">
        <f>IMAGE("https://mitra.stanford.edu/kundaje/oak/projects/neuro-variants/variant_position/credible/roussos_2024/variant_figures/roussos_2024.childhood.GLU/rs12407539_count_position.png",4,220,900)</f>
        <v/>
      </c>
      <c r="T189">
        <f>IMAGE("https://mitra.stanford.edu/kundaje/oak/projects/neuro-variants/variant_position/credible/roussos_2024/variant_figures/roussos_2024.childhood.GLU/rs12407539_profile_position.png",4,220,900)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-0.0366838516</v>
      </c>
      <c r="G190" t="n">
        <v>0.2723485246861586</v>
      </c>
      <c r="H190" t="n">
        <v>0.0300993881625842</v>
      </c>
      <c r="I190" t="n">
        <v>0.0205553239850817</v>
      </c>
      <c r="J190" t="n">
        <v>0.090075926937064</v>
      </c>
      <c r="K190" t="n">
        <v>0.2698233785847783</v>
      </c>
      <c r="L190" t="b">
        <v>0</v>
      </c>
      <c r="M190" t="b">
        <v>0</v>
      </c>
      <c r="N190" t="inlineStr">
        <is>
          <t>ref</t>
        </is>
      </c>
      <c r="O190" t="n">
        <v>75</v>
      </c>
      <c r="P190" t="n">
        <v>0.02719</v>
      </c>
      <c r="Q190" t="n">
        <v>80</v>
      </c>
      <c r="R190" t="n">
        <v>0.1536</v>
      </c>
      <c r="S190">
        <f>IMAGE("https://mitra.stanford.edu/kundaje/oak/projects/neuro-variants/variant_position/credible/roussos_2024/variant_figures/roussos_2024.childhood.GLU/rs36025579_count_position.png",4,220,900)</f>
        <v/>
      </c>
      <c r="T190">
        <f>IMAGE("https://mitra.stanford.edu/kundaje/oak/projects/neuro-variants/variant_position/credible/roussos_2024/variant_figures/roussos_2024.childhood.GLU/rs36025579_profile_position.png",4,220,900)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0.08467852300000001</v>
      </c>
      <c r="G191" t="n">
        <v>0.062436401709588</v>
      </c>
      <c r="H191" t="n">
        <v>0.0134133066322245</v>
      </c>
      <c r="I191" t="n">
        <v>0.3457213981044473</v>
      </c>
      <c r="J191" t="n">
        <v>0.064669764183502</v>
      </c>
      <c r="K191" t="n">
        <v>0.3217772728543354</v>
      </c>
      <c r="L191" t="b">
        <v>0</v>
      </c>
      <c r="M191" t="b">
        <v>0</v>
      </c>
      <c r="N191" t="inlineStr">
        <is>
          <t>alt</t>
        </is>
      </c>
      <c r="O191" t="n">
        <v>-90</v>
      </c>
      <c r="P191" t="n">
        <v>0.001503</v>
      </c>
      <c r="Q191" t="n">
        <v>20</v>
      </c>
      <c r="R191" t="n">
        <v>0.06104</v>
      </c>
      <c r="S191">
        <f>IMAGE("https://mitra.stanford.edu/kundaje/oak/projects/neuro-variants/variant_position/credible/roussos_2024/variant_figures/roussos_2024.childhood.GLU/rs10875073_count_position.png",4,220,900)</f>
        <v/>
      </c>
      <c r="T191">
        <f>IMAGE("https://mitra.stanford.edu/kundaje/oak/projects/neuro-variants/variant_position/credible/roussos_2024/variant_figures/roussos_2024.childhood.GLU/rs10875073_profile_position.png",4,220,900)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0.1102440699999999</v>
      </c>
      <c r="G192" t="n">
        <v>0.0359494251329893</v>
      </c>
      <c r="H192" t="n">
        <v>0.0340304141430306</v>
      </c>
      <c r="I192" t="n">
        <v>0.0127630765253286</v>
      </c>
      <c r="J192" t="n">
        <v>0.0134845003966332</v>
      </c>
      <c r="K192" t="n">
        <v>0.5571539615562813</v>
      </c>
      <c r="L192" t="b">
        <v>1</v>
      </c>
      <c r="M192" t="b">
        <v>0</v>
      </c>
      <c r="N192" t="inlineStr">
        <is>
          <t>alt</t>
        </is>
      </c>
      <c r="O192" t="n">
        <v>0</v>
      </c>
      <c r="P192" t="n">
        <v>0</v>
      </c>
      <c r="Q192" t="n">
        <v>-5</v>
      </c>
      <c r="R192" t="n">
        <v>0.01563</v>
      </c>
      <c r="S192">
        <f>IMAGE("https://mitra.stanford.edu/kundaje/oak/projects/neuro-variants/variant_position/credible/roussos_2024/variant_figures/roussos_2024.childhood.GLU/rs72728414_count_position.png",4,220,900)</f>
        <v/>
      </c>
      <c r="T192">
        <f>IMAGE("https://mitra.stanford.edu/kundaje/oak/projects/neuro-variants/variant_position/credible/roussos_2024/variant_figures/roussos_2024.childhood.GLU/rs72728414_profile_position.png",4,220,900)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0.043779252</v>
      </c>
      <c r="G193" t="n">
        <v>0.216413536878254</v>
      </c>
      <c r="H193" t="n">
        <v>0.013474449513995</v>
      </c>
      <c r="I193" t="n">
        <v>0.3419239879623146</v>
      </c>
      <c r="J193" t="n">
        <v>0.0348285205064542</v>
      </c>
      <c r="K193" t="n">
        <v>0.4131028913246906</v>
      </c>
      <c r="L193" t="b">
        <v>0</v>
      </c>
      <c r="M193" t="b">
        <v>0</v>
      </c>
      <c r="N193" t="inlineStr">
        <is>
          <t>alt</t>
        </is>
      </c>
      <c r="O193" t="n">
        <v>-45</v>
      </c>
      <c r="P193" t="n">
        <v>0.00978</v>
      </c>
      <c r="Q193" t="n">
        <v>0</v>
      </c>
      <c r="R193" t="n">
        <v>0</v>
      </c>
      <c r="S193">
        <f>IMAGE("https://mitra.stanford.edu/kundaje/oak/projects/neuro-variants/variant_position/credible/roussos_2024/variant_figures/roussos_2024.childhood.GLU/rs74105186_count_position.png",4,220,900)</f>
        <v/>
      </c>
      <c r="T193">
        <f>IMAGE("https://mitra.stanford.edu/kundaje/oak/projects/neuro-variants/variant_position/credible/roussos_2024/variant_figures/roussos_2024.childhood.GLU/rs74105186_profile_position.png",4,220,900)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-0.070378423</v>
      </c>
      <c r="G194" t="n">
        <v>0.097559181150997</v>
      </c>
      <c r="H194" t="n">
        <v>0.0104964966675605</v>
      </c>
      <c r="I194" t="n">
        <v>0.569810029040277</v>
      </c>
      <c r="J194" t="n">
        <v>0.0210298041558922</v>
      </c>
      <c r="K194" t="n">
        <v>0.4789514214475799</v>
      </c>
      <c r="L194" t="b">
        <v>0</v>
      </c>
      <c r="M194" t="b">
        <v>0</v>
      </c>
      <c r="N194" t="inlineStr">
        <is>
          <t>ref</t>
        </is>
      </c>
      <c r="O194" t="n">
        <v>55</v>
      </c>
      <c r="P194" t="n">
        <v>0.1932</v>
      </c>
      <c r="Q194" t="n">
        <v>100</v>
      </c>
      <c r="R194" t="n">
        <v>0.12384</v>
      </c>
      <c r="S194">
        <f>IMAGE("https://mitra.stanford.edu/kundaje/oak/projects/neuro-variants/variant_position/credible/roussos_2024/variant_figures/roussos_2024.childhood.GLU/rs1112314_count_position.png",4,220,900)</f>
        <v/>
      </c>
      <c r="T194">
        <f>IMAGE("https://mitra.stanford.edu/kundaje/oak/projects/neuro-variants/variant_position/credible/roussos_2024/variant_figures/roussos_2024.childhood.GLU/rs1112314_profile_position.png",4,220,900)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0.0809054248</v>
      </c>
      <c r="G195" t="n">
        <v>0.0727178921537411</v>
      </c>
      <c r="H195" t="n">
        <v>0.0315224140341939</v>
      </c>
      <c r="I195" t="n">
        <v>0.0176519960388504</v>
      </c>
      <c r="J195" t="n">
        <v>0.0031462804042567</v>
      </c>
      <c r="K195" t="n">
        <v>0.7243196138301715</v>
      </c>
      <c r="L195" t="b">
        <v>0</v>
      </c>
      <c r="M195" t="b">
        <v>0</v>
      </c>
      <c r="N195" t="inlineStr">
        <is>
          <t>alt</t>
        </is>
      </c>
      <c r="O195" t="n">
        <v>-70</v>
      </c>
      <c r="P195" t="n">
        <v>0.00852</v>
      </c>
      <c r="Q195" t="n">
        <v>-40</v>
      </c>
      <c r="R195" t="n">
        <v>0.05066</v>
      </c>
      <c r="S195">
        <f>IMAGE("https://mitra.stanford.edu/kundaje/oak/projects/neuro-variants/variant_position/credible/roussos_2024/variant_figures/roussos_2024.childhood.GLU/rs12047563_count_position.png",4,220,900)</f>
        <v/>
      </c>
      <c r="T195">
        <f>IMAGE("https://mitra.stanford.edu/kundaje/oak/projects/neuro-variants/variant_position/credible/roussos_2024/variant_figures/roussos_2024.childhood.GLU/rs12047563_profile_position.png",4,220,900)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-0.310529734</v>
      </c>
      <c r="G196" t="n">
        <v>0.0023120024516307</v>
      </c>
      <c r="H196" t="n">
        <v>0.0429032228705697</v>
      </c>
      <c r="I196" t="n">
        <v>0.0062778998157943</v>
      </c>
      <c r="J196" t="n">
        <v>0.0030566515911689</v>
      </c>
      <c r="K196" t="n">
        <v>0.7267507773355233</v>
      </c>
      <c r="L196" t="b">
        <v>1</v>
      </c>
      <c r="M196" t="b">
        <v>1</v>
      </c>
      <c r="N196" t="inlineStr">
        <is>
          <t>ref</t>
        </is>
      </c>
      <c r="O196" t="n">
        <v>15</v>
      </c>
      <c r="P196" t="n">
        <v>0.001595</v>
      </c>
      <c r="Q196" t="n">
        <v>0</v>
      </c>
      <c r="R196" t="n">
        <v>0</v>
      </c>
      <c r="S196">
        <f>IMAGE("https://mitra.stanford.edu/kundaje/oak/projects/neuro-variants/variant_position/credible/roussos_2024/variant_figures/roussos_2024.childhood.GLU/rs4503384_count_position.png",4,220,900)</f>
        <v/>
      </c>
      <c r="T196">
        <f>IMAGE("https://mitra.stanford.edu/kundaje/oak/projects/neuro-variants/variant_position/credible/roussos_2024/variant_figures/roussos_2024.childhood.GLU/rs4503384_profile_position.png",4,220,900)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0.008796838120000001</v>
      </c>
      <c r="G197" t="n">
        <v>0.6268977814594302</v>
      </c>
      <c r="H197" t="n">
        <v>0.0184465444369066</v>
      </c>
      <c r="I197" t="n">
        <v>0.1281274664256625</v>
      </c>
      <c r="J197" t="n">
        <v>0.0011280867854162</v>
      </c>
      <c r="K197" t="n">
        <v>0.8146381629644481</v>
      </c>
      <c r="L197" t="b">
        <v>0</v>
      </c>
      <c r="M197" t="b">
        <v>0</v>
      </c>
      <c r="N197" t="inlineStr">
        <is>
          <t>alt</t>
        </is>
      </c>
      <c r="O197" t="n">
        <v>100</v>
      </c>
      <c r="P197" t="n">
        <v>0.008895999999999999</v>
      </c>
      <c r="Q197" t="n">
        <v>-100</v>
      </c>
      <c r="R197" t="n">
        <v>0.02216</v>
      </c>
      <c r="S197">
        <f>IMAGE("https://mitra.stanford.edu/kundaje/oak/projects/neuro-variants/variant_position/credible/roussos_2024/variant_figures/roussos_2024.childhood.GLU/rs56682383_count_position.png",4,220,900)</f>
        <v/>
      </c>
      <c r="T197">
        <f>IMAGE("https://mitra.stanford.edu/kundaje/oak/projects/neuro-variants/variant_position/credible/roussos_2024/variant_figures/roussos_2024.childhood.GLU/rs56682383_profile_position.png",4,220,900)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0.0530333885999999</v>
      </c>
      <c r="G198" t="n">
        <v>0.157448590372472</v>
      </c>
      <c r="H198" t="n">
        <v>0.0088696665254749</v>
      </c>
      <c r="I198" t="n">
        <v>0.7550148112618091</v>
      </c>
      <c r="J198" t="n">
        <v>0.0007098189910061</v>
      </c>
      <c r="K198" t="n">
        <v>0.8511304556369655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0.0206</v>
      </c>
      <c r="Q198" t="n">
        <v>-50</v>
      </c>
      <c r="R198" t="n">
        <v>0.03488</v>
      </c>
      <c r="S198">
        <f>IMAGE("https://mitra.stanford.edu/kundaje/oak/projects/neuro-variants/variant_position/credible/roussos_2024/variant_figures/roussos_2024.childhood.GLU/rs9727787_count_position.png",4,220,900)</f>
        <v/>
      </c>
      <c r="T198">
        <f>IMAGE("https://mitra.stanford.edu/kundaje/oak/projects/neuro-variants/variant_position/credible/roussos_2024/variant_figures/roussos_2024.childhood.GLU/rs9727787_profile_position.png",4,220,900)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0.0067508363799999</v>
      </c>
      <c r="G199" t="n">
        <v>0.5942857209337716</v>
      </c>
      <c r="H199" t="n">
        <v>0.0081766795029906</v>
      </c>
      <c r="I199" t="n">
        <v>0.8605332372863944</v>
      </c>
      <c r="J199" t="n">
        <v>0.0037881051232653</v>
      </c>
      <c r="K199" t="n">
        <v>0.7062726103023269</v>
      </c>
      <c r="L199" t="b">
        <v>0</v>
      </c>
      <c r="M199" t="b">
        <v>0</v>
      </c>
      <c r="N199" t="inlineStr">
        <is>
          <t>alt</t>
        </is>
      </c>
      <c r="O199" t="n">
        <v>95</v>
      </c>
      <c r="P199" t="n">
        <v>0.00859</v>
      </c>
      <c r="Q199" t="n">
        <v>-65</v>
      </c>
      <c r="R199" t="n">
        <v>0.07965</v>
      </c>
      <c r="S199">
        <f>IMAGE("https://mitra.stanford.edu/kundaje/oak/projects/neuro-variants/variant_position/credible/roussos_2024/variant_figures/roussos_2024.childhood.GLU/rs55824522_count_position.png",4,220,900)</f>
        <v/>
      </c>
      <c r="T199">
        <f>IMAGE("https://mitra.stanford.edu/kundaje/oak/projects/neuro-variants/variant_position/credible/roussos_2024/variant_figures/roussos_2024.childhood.GLU/rs55824522_profile_position.png",4,220,900)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0.0002826281219999</v>
      </c>
      <c r="G200" t="n">
        <v>0.7373758155826183</v>
      </c>
      <c r="H200" t="n">
        <v>0.0232250086659762</v>
      </c>
      <c r="I200" t="n">
        <v>0.0575401085695589</v>
      </c>
      <c r="J200" t="n">
        <v>0.0193773373030998</v>
      </c>
      <c r="K200" t="n">
        <v>0.4937927541175123</v>
      </c>
      <c r="L200" t="b">
        <v>0</v>
      </c>
      <c r="M200" t="b">
        <v>0</v>
      </c>
      <c r="N200" t="inlineStr">
        <is>
          <t>alt</t>
        </is>
      </c>
      <c r="O200" t="n">
        <v>5</v>
      </c>
      <c r="P200" t="n">
        <v>0.00029</v>
      </c>
      <c r="Q200" t="n">
        <v>30</v>
      </c>
      <c r="R200" t="n">
        <v>0.09959999999999999</v>
      </c>
      <c r="S200">
        <f>IMAGE("https://mitra.stanford.edu/kundaje/oak/projects/neuro-variants/variant_position/credible/roussos_2024/variant_figures/roussos_2024.childhood.GLU/rs12043021_count_position.png",4,220,900)</f>
        <v/>
      </c>
      <c r="T200">
        <f>IMAGE("https://mitra.stanford.edu/kundaje/oak/projects/neuro-variants/variant_position/credible/roussos_2024/variant_figures/roussos_2024.childhood.GLU/rs12043021_profile_position.png",4,220,900)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0.0595922273999999</v>
      </c>
      <c r="G201" t="n">
        <v>0.1168327300893688</v>
      </c>
      <c r="H201" t="n">
        <v>0.0132193287259026</v>
      </c>
      <c r="I201" t="n">
        <v>0.3623044713360113</v>
      </c>
      <c r="J201" t="n">
        <v>0.0253556821576848</v>
      </c>
      <c r="K201" t="n">
        <v>0.4559222519750864</v>
      </c>
      <c r="L201" t="b">
        <v>0</v>
      </c>
      <c r="M201" t="b">
        <v>0</v>
      </c>
      <c r="N201" t="inlineStr">
        <is>
          <t>alt</t>
        </is>
      </c>
      <c r="O201" t="n">
        <v>-100</v>
      </c>
      <c r="P201" t="n">
        <v>0.01396</v>
      </c>
      <c r="Q201" t="n">
        <v>-75</v>
      </c>
      <c r="R201" t="n">
        <v>0.010254</v>
      </c>
      <c r="S201">
        <f>IMAGE("https://mitra.stanford.edu/kundaje/oak/projects/neuro-variants/variant_position/credible/roussos_2024/variant_figures/roussos_2024.childhood.GLU/rs12040699_count_position.png",4,220,900)</f>
        <v/>
      </c>
      <c r="T201">
        <f>IMAGE("https://mitra.stanford.edu/kundaje/oak/projects/neuro-variants/variant_position/credible/roussos_2024/variant_figures/roussos_2024.childhood.GLU/rs12040699_profile_position.png",4,220,900)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-0.086942277</v>
      </c>
      <c r="G202" t="n">
        <v>0.061755944258602</v>
      </c>
      <c r="H202" t="n">
        <v>0.0137068856865681</v>
      </c>
      <c r="I202" t="n">
        <v>0.3213218666215134</v>
      </c>
      <c r="J202" t="n">
        <v>0.0100775752830518</v>
      </c>
      <c r="K202" t="n">
        <v>0.5899671604208544</v>
      </c>
      <c r="L202" t="b">
        <v>0</v>
      </c>
      <c r="M202" t="b">
        <v>0</v>
      </c>
      <c r="N202" t="inlineStr">
        <is>
          <t>ref</t>
        </is>
      </c>
      <c r="O202" t="n">
        <v>100</v>
      </c>
      <c r="P202" t="n">
        <v>0.00776</v>
      </c>
      <c r="Q202" t="n">
        <v>-15</v>
      </c>
      <c r="R202" t="n">
        <v>0.02509</v>
      </c>
      <c r="S202">
        <f>IMAGE("https://mitra.stanford.edu/kundaje/oak/projects/neuro-variants/variant_position/credible/roussos_2024/variant_figures/roussos_2024.childhood.GLU/rs12026223_count_position.png",4,220,900)</f>
        <v/>
      </c>
      <c r="T202">
        <f>IMAGE("https://mitra.stanford.edu/kundaje/oak/projects/neuro-variants/variant_position/credible/roussos_2024/variant_figures/roussos_2024.childhood.GLU/rs12026223_profile_position.png",4,220,900)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-0.0829771416</v>
      </c>
      <c r="G203" t="n">
        <v>0.0743005192651946</v>
      </c>
      <c r="H203" t="n">
        <v>0.0121795609378141</v>
      </c>
      <c r="I203" t="n">
        <v>0.4316462627611791</v>
      </c>
      <c r="J203" t="n">
        <v>0.0147083972925916</v>
      </c>
      <c r="K203" t="n">
        <v>0.5323218764957111</v>
      </c>
      <c r="L203" t="b">
        <v>0</v>
      </c>
      <c r="M203" t="b">
        <v>0</v>
      </c>
      <c r="N203" t="inlineStr">
        <is>
          <t>ref</t>
        </is>
      </c>
      <c r="O203" t="n">
        <v>-55</v>
      </c>
      <c r="P203" t="n">
        <v>0.00432</v>
      </c>
      <c r="Q203" t="n">
        <v>100</v>
      </c>
      <c r="R203" t="n">
        <v>0.02818</v>
      </c>
      <c r="S203">
        <f>IMAGE("https://mitra.stanford.edu/kundaje/oak/projects/neuro-variants/variant_position/credible/roussos_2024/variant_figures/roussos_2024.childhood.GLU/rs6687374_count_position.png",4,220,900)</f>
        <v/>
      </c>
      <c r="T203">
        <f>IMAGE("https://mitra.stanford.edu/kundaje/oak/projects/neuro-variants/variant_position/credible/roussos_2024/variant_figures/roussos_2024.childhood.GLU/rs6687374_profile_position.png",4,220,900)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0.0259211647</v>
      </c>
      <c r="G204" t="n">
        <v>0.3346157689474403</v>
      </c>
      <c r="H204" t="n">
        <v>0.0094929649600368</v>
      </c>
      <c r="I204" t="n">
        <v>0.7118629315580193</v>
      </c>
      <c r="J204" t="n">
        <v>0.0052015618078234</v>
      </c>
      <c r="K204" t="n">
        <v>0.6806089261954303</v>
      </c>
      <c r="L204" t="b">
        <v>0</v>
      </c>
      <c r="M204" t="b">
        <v>0</v>
      </c>
      <c r="N204" t="inlineStr">
        <is>
          <t>alt</t>
        </is>
      </c>
      <c r="O204" t="n">
        <v>-100</v>
      </c>
      <c r="P204" t="n">
        <v>0.0437</v>
      </c>
      <c r="Q204" t="n">
        <v>30</v>
      </c>
      <c r="R204" t="n">
        <v>0.04486</v>
      </c>
      <c r="S204">
        <f>IMAGE("https://mitra.stanford.edu/kundaje/oak/projects/neuro-variants/variant_position/credible/roussos_2024/variant_figures/roussos_2024.childhood.GLU/rs58941846_count_position.png",4,220,900)</f>
        <v/>
      </c>
      <c r="T204">
        <f>IMAGE("https://mitra.stanford.edu/kundaje/oak/projects/neuro-variants/variant_position/credible/roussos_2024/variant_figures/roussos_2024.childhood.GLU/rs58941846_profile_position.png",4,220,900)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0.0067620997999999</v>
      </c>
      <c r="G205" t="n">
        <v>0.3958692396612798</v>
      </c>
      <c r="H205" t="n">
        <v>0.0163028370459072</v>
      </c>
      <c r="I205" t="n">
        <v>0.1968597321787346</v>
      </c>
      <c r="J205" t="n">
        <v>0.0015267804712208</v>
      </c>
      <c r="K205" t="n">
        <v>0.7862492364430057</v>
      </c>
      <c r="L205" t="b">
        <v>0</v>
      </c>
      <c r="M205" t="b">
        <v>0</v>
      </c>
      <c r="N205" t="inlineStr">
        <is>
          <t>alt</t>
        </is>
      </c>
      <c r="O205" t="n">
        <v>60</v>
      </c>
      <c r="P205" t="n">
        <v>0.006042</v>
      </c>
      <c r="Q205" t="n">
        <v>55</v>
      </c>
      <c r="R205" t="n">
        <v>0.08069999999999999</v>
      </c>
      <c r="S205">
        <f>IMAGE("https://mitra.stanford.edu/kundaje/oak/projects/neuro-variants/variant_position/credible/roussos_2024/variant_figures/roussos_2024.childhood.GLU/rs12129397_count_position.png",4,220,900)</f>
        <v/>
      </c>
      <c r="T205">
        <f>IMAGE("https://mitra.stanford.edu/kundaje/oak/projects/neuro-variants/variant_position/credible/roussos_2024/variant_figures/roussos_2024.childhood.GLU/rs12129397_profile_position.png",4,220,900)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0.0007387669259999</v>
      </c>
      <c r="G206" t="n">
        <v>0.7901545383509022</v>
      </c>
      <c r="H206" t="n">
        <v>0.0216556149407265</v>
      </c>
      <c r="I206" t="n">
        <v>0.0763143889900695</v>
      </c>
      <c r="J206" t="n">
        <v>0.0003822102259264</v>
      </c>
      <c r="K206" t="n">
        <v>0.8834475361035536</v>
      </c>
      <c r="L206" t="b">
        <v>0</v>
      </c>
      <c r="M206" t="b">
        <v>0</v>
      </c>
      <c r="N206" t="inlineStr">
        <is>
          <t>alt</t>
        </is>
      </c>
      <c r="O206" t="n">
        <v>50</v>
      </c>
      <c r="P206" t="n">
        <v>0.006554</v>
      </c>
      <c r="Q206" t="n">
        <v>-85</v>
      </c>
      <c r="R206" t="n">
        <v>0.1184</v>
      </c>
      <c r="S206">
        <f>IMAGE("https://mitra.stanford.edu/kundaje/oak/projects/neuro-variants/variant_position/credible/roussos_2024/variant_figures/roussos_2024.childhood.GLU/rs11165872_count_position.png",4,220,900)</f>
        <v/>
      </c>
      <c r="T206">
        <f>IMAGE("https://mitra.stanford.edu/kundaje/oak/projects/neuro-variants/variant_position/credible/roussos_2024/variant_figures/roussos_2024.childhood.GLU/rs11165872_profile_position.png",4,220,900)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0.0286293179999999</v>
      </c>
      <c r="G207" t="n">
        <v>0.3518529546252733</v>
      </c>
      <c r="H207" t="n">
        <v>0.0192584172432114</v>
      </c>
      <c r="I207" t="n">
        <v>0.1123014989712204</v>
      </c>
      <c r="J207" t="n">
        <v>0.0105607467007324</v>
      </c>
      <c r="K207" t="n">
        <v>0.5924325339984078</v>
      </c>
      <c r="L207" t="b">
        <v>0</v>
      </c>
      <c r="M207" t="b">
        <v>0</v>
      </c>
      <c r="N207" t="inlineStr">
        <is>
          <t>alt</t>
        </is>
      </c>
      <c r="O207" t="n">
        <v>-60</v>
      </c>
      <c r="P207" t="n">
        <v>0.01015</v>
      </c>
      <c r="Q207" t="n">
        <v>-60</v>
      </c>
      <c r="R207" t="n">
        <v>0.1467</v>
      </c>
      <c r="S207">
        <f>IMAGE("https://mitra.stanford.edu/kundaje/oak/projects/neuro-variants/variant_position/credible/roussos_2024/variant_figures/roussos_2024.childhood.GLU/rs12354219_count_position.png",4,220,900)</f>
        <v/>
      </c>
      <c r="T207">
        <f>IMAGE("https://mitra.stanford.edu/kundaje/oak/projects/neuro-variants/variant_position/credible/roussos_2024/variant_figures/roussos_2024.childhood.GLU/rs12354219_profile_position.png",4,220,900)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-0.0817260868</v>
      </c>
      <c r="G208" t="n">
        <v>0.0782338250444608</v>
      </c>
      <c r="H208" t="n">
        <v>0.0165129479335712</v>
      </c>
      <c r="I208" t="n">
        <v>0.1904030774170033</v>
      </c>
      <c r="J208" t="n">
        <v>0.0470345225462824</v>
      </c>
      <c r="K208" t="n">
        <v>0.3589546191511618</v>
      </c>
      <c r="L208" t="b">
        <v>0</v>
      </c>
      <c r="M208" t="b">
        <v>0</v>
      </c>
      <c r="N208" t="inlineStr">
        <is>
          <t>ref</t>
        </is>
      </c>
      <c r="O208" t="n">
        <v>-30</v>
      </c>
      <c r="P208" t="n">
        <v>0.01195</v>
      </c>
      <c r="Q208" t="n">
        <v>-50</v>
      </c>
      <c r="R208" t="n">
        <v>0.0746</v>
      </c>
      <c r="S208">
        <f>IMAGE("https://mitra.stanford.edu/kundaje/oak/projects/neuro-variants/variant_position/credible/roussos_2024/variant_figures/roussos_2024.childhood.GLU/rs79917705_count_position.png",4,220,900)</f>
        <v/>
      </c>
      <c r="T208">
        <f>IMAGE("https://mitra.stanford.edu/kundaje/oak/projects/neuro-variants/variant_position/credible/roussos_2024/variant_figures/roussos_2024.childhood.GLU/rs79917705_profile_position.png",4,220,900)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-0.06478343716599989</v>
      </c>
      <c r="G209" t="n">
        <v>0.1247134439481651</v>
      </c>
      <c r="H209" t="n">
        <v>0.0170422122536189</v>
      </c>
      <c r="I209" t="n">
        <v>0.187040089002639</v>
      </c>
      <c r="J209" t="n">
        <v>0.0149401959471292</v>
      </c>
      <c r="K209" t="n">
        <v>0.5314406994424492</v>
      </c>
      <c r="L209" t="b">
        <v>0</v>
      </c>
      <c r="M209" t="b">
        <v>0</v>
      </c>
      <c r="N209" t="inlineStr">
        <is>
          <t>ref</t>
        </is>
      </c>
      <c r="O209" t="n">
        <v>-15</v>
      </c>
      <c r="P209" t="n">
        <v>0.002136</v>
      </c>
      <c r="Q209" t="n">
        <v>100</v>
      </c>
      <c r="R209" t="n">
        <v>0.0586</v>
      </c>
      <c r="S209">
        <f>IMAGE("https://mitra.stanford.edu/kundaje/oak/projects/neuro-variants/variant_position/credible/roussos_2024/variant_figures/roussos_2024.childhood.GLU/rs10783069_count_position.png",4,220,900)</f>
        <v/>
      </c>
      <c r="T209">
        <f>IMAGE("https://mitra.stanford.edu/kundaje/oak/projects/neuro-variants/variant_position/credible/roussos_2024/variant_figures/roussos_2024.childhood.GLU/rs10783069_profile_position.png",4,220,900)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0.0764398196</v>
      </c>
      <c r="G210" t="n">
        <v>0.0953720166712658</v>
      </c>
      <c r="H210" t="n">
        <v>0.0135334450276767</v>
      </c>
      <c r="I210" t="n">
        <v>0.3419281724159341</v>
      </c>
      <c r="J210" t="n">
        <v>0.0024519146568864</v>
      </c>
      <c r="K210" t="n">
        <v>0.7528791881654558</v>
      </c>
      <c r="L210" t="b">
        <v>0</v>
      </c>
      <c r="M210" t="b">
        <v>0</v>
      </c>
      <c r="N210" t="inlineStr">
        <is>
          <t>alt</t>
        </is>
      </c>
      <c r="O210" t="n">
        <v>-80</v>
      </c>
      <c r="P210" t="n">
        <v>0.005936</v>
      </c>
      <c r="Q210" t="n">
        <v>30</v>
      </c>
      <c r="R210" t="n">
        <v>0.0625</v>
      </c>
      <c r="S210">
        <f>IMAGE("https://mitra.stanford.edu/kundaje/oak/projects/neuro-variants/variant_position/credible/roussos_2024/variant_figures/roussos_2024.childhood.GLU/rs7537165_count_position.png",4,220,900)</f>
        <v/>
      </c>
      <c r="T210">
        <f>IMAGE("https://mitra.stanford.edu/kundaje/oak/projects/neuro-variants/variant_position/credible/roussos_2024/variant_figures/roussos_2024.childhood.GLU/rs7537165_profile_position.png",4,220,900)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5.852119999999461e-06</v>
      </c>
      <c r="G211" t="n">
        <v>0.5953882359603937</v>
      </c>
      <c r="H211" t="n">
        <v>0.0204316541433142</v>
      </c>
      <c r="I211" t="n">
        <v>0.0938499572679453</v>
      </c>
      <c r="J211" t="n">
        <v>0.0013619458724385</v>
      </c>
      <c r="K211" t="n">
        <v>0.8145480030680731</v>
      </c>
      <c r="L211" t="b">
        <v>0</v>
      </c>
      <c r="M211" t="b">
        <v>0</v>
      </c>
      <c r="N211" t="inlineStr">
        <is>
          <t>alt</t>
        </is>
      </c>
      <c r="O211" t="n">
        <v>-40</v>
      </c>
      <c r="P211" t="n">
        <v>0.002811</v>
      </c>
      <c r="Q211" t="n">
        <v>90</v>
      </c>
      <c r="R211" t="n">
        <v>0.07403999999999999</v>
      </c>
      <c r="S211">
        <f>IMAGE("https://mitra.stanford.edu/kundaje/oak/projects/neuro-variants/variant_position/credible/roussos_2024/variant_figures/roussos_2024.childhood.GLU/rs2811202_count_position.png",4,220,900)</f>
        <v/>
      </c>
      <c r="T211">
        <f>IMAGE("https://mitra.stanford.edu/kundaje/oak/projects/neuro-variants/variant_position/credible/roussos_2024/variant_figures/roussos_2024.childhood.GLU/rs2811202_profile_position.png",4,220,900)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0.01392654146</v>
      </c>
      <c r="G212" t="n">
        <v>0.5612096047634793</v>
      </c>
      <c r="H212" t="n">
        <v>0.0162514326974691</v>
      </c>
      <c r="I212" t="n">
        <v>0.1955526575986139</v>
      </c>
      <c r="J212" t="n">
        <v>0.035807225936724</v>
      </c>
      <c r="K212" t="n">
        <v>0.4083136034354345</v>
      </c>
      <c r="L212" t="b">
        <v>0</v>
      </c>
      <c r="M212" t="b">
        <v>0</v>
      </c>
      <c r="N212" t="inlineStr">
        <is>
          <t>alt</t>
        </is>
      </c>
      <c r="O212" t="n">
        <v>-100</v>
      </c>
      <c r="P212" t="n">
        <v>0.01111</v>
      </c>
      <c r="Q212" t="n">
        <v>100</v>
      </c>
      <c r="R212" t="n">
        <v>0.01175</v>
      </c>
      <c r="S212">
        <f>IMAGE("https://mitra.stanford.edu/kundaje/oak/projects/neuro-variants/variant_position/credible/roussos_2024/variant_figures/roussos_2024.childhood.GLU/rs2811197_count_position.png",4,220,900)</f>
        <v/>
      </c>
      <c r="T212">
        <f>IMAGE("https://mitra.stanford.edu/kundaje/oak/projects/neuro-variants/variant_position/credible/roussos_2024/variant_figures/roussos_2024.childhood.GLU/rs2811197_profile_position.png",4,220,900)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0.09419667</v>
      </c>
      <c r="G213" t="n">
        <v>0.0602303061240763</v>
      </c>
      <c r="H213" t="n">
        <v>0.0182527378322724</v>
      </c>
      <c r="I213" t="n">
        <v>0.1334426685551453</v>
      </c>
      <c r="J213" t="n">
        <v>0.0103897308044958</v>
      </c>
      <c r="K213" t="n">
        <v>0.5969828592542202</v>
      </c>
      <c r="L213" t="b">
        <v>0</v>
      </c>
      <c r="M213" t="b">
        <v>0</v>
      </c>
      <c r="N213" t="inlineStr">
        <is>
          <t>alt</t>
        </is>
      </c>
      <c r="O213" t="n">
        <v>-30</v>
      </c>
      <c r="P213" t="n">
        <v>0.001712</v>
      </c>
      <c r="Q213" t="n">
        <v>-95</v>
      </c>
      <c r="R213" t="n">
        <v>0.06859999999999999</v>
      </c>
      <c r="S213">
        <f>IMAGE("https://mitra.stanford.edu/kundaje/oak/projects/neuro-variants/variant_position/credible/roussos_2024/variant_figures/roussos_2024.childhood.GLU/rs6663670_count_position.png",4,220,900)</f>
        <v/>
      </c>
      <c r="T213">
        <f>IMAGE("https://mitra.stanford.edu/kundaje/oak/projects/neuro-variants/variant_position/credible/roussos_2024/variant_figures/roussos_2024.childhood.GLU/rs6663670_profile_position.png",4,220,900)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0.0336303258</v>
      </c>
      <c r="G214" t="n">
        <v>0.3019222218070074</v>
      </c>
      <c r="H214" t="n">
        <v>0.0198640415228893</v>
      </c>
      <c r="I214" t="n">
        <v>0.09967657900814859</v>
      </c>
      <c r="J214" t="n">
        <v>8.756838060306617e-05</v>
      </c>
      <c r="K214" t="n">
        <v>0.9488366419005344</v>
      </c>
      <c r="L214" t="b">
        <v>0</v>
      </c>
      <c r="M214" t="b">
        <v>0</v>
      </c>
      <c r="N214" t="inlineStr">
        <is>
          <t>alt</t>
        </is>
      </c>
      <c r="O214" t="n">
        <v>-10</v>
      </c>
      <c r="P214" t="n">
        <v>0.00215</v>
      </c>
      <c r="Q214" t="n">
        <v>20</v>
      </c>
      <c r="R214" t="n">
        <v>0.010864</v>
      </c>
      <c r="S214">
        <f>IMAGE("https://mitra.stanford.edu/kundaje/oak/projects/neuro-variants/variant_position/credible/roussos_2024/variant_figures/roussos_2024.childhood.GLU/rs72975785_count_position.png",4,220,900)</f>
        <v/>
      </c>
      <c r="T214">
        <f>IMAGE("https://mitra.stanford.edu/kundaje/oak/projects/neuro-variants/variant_position/credible/roussos_2024/variant_figures/roussos_2024.childhood.GLU/rs72975785_profile_position.png",4,220,900)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-0.0323053175399999</v>
      </c>
      <c r="G215" t="n">
        <v>0.3680671791088674</v>
      </c>
      <c r="H215" t="n">
        <v>0.0098325040428257</v>
      </c>
      <c r="I215" t="n">
        <v>0.6800330923170488</v>
      </c>
      <c r="J215" t="n">
        <v>0.019822390719812</v>
      </c>
      <c r="K215" t="n">
        <v>0.5159394554992774</v>
      </c>
      <c r="L215" t="b">
        <v>0</v>
      </c>
      <c r="M215" t="b">
        <v>0</v>
      </c>
      <c r="N215" t="inlineStr">
        <is>
          <t>ref</t>
        </is>
      </c>
      <c r="O215" t="n">
        <v>20</v>
      </c>
      <c r="P215" t="n">
        <v>0.007477</v>
      </c>
      <c r="Q215" t="n">
        <v>15</v>
      </c>
      <c r="R215" t="n">
        <v>0.02637</v>
      </c>
      <c r="S215">
        <f>IMAGE("https://mitra.stanford.edu/kundaje/oak/projects/neuro-variants/variant_position/credible/roussos_2024/variant_figures/roussos_2024.childhood.GLU/rs11590802_count_position.png",4,220,900)</f>
        <v/>
      </c>
      <c r="T215">
        <f>IMAGE("https://mitra.stanford.edu/kundaje/oak/projects/neuro-variants/variant_position/credible/roussos_2024/variant_figures/roussos_2024.childhood.GLU/rs11590802_profile_position.png",4,220,900)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0.2409800732</v>
      </c>
      <c r="G216" t="n">
        <v>0.0053889541119336</v>
      </c>
      <c r="H216" t="n">
        <v>0.0349053634370587</v>
      </c>
      <c r="I216" t="n">
        <v>0.0170154911477035</v>
      </c>
      <c r="J216" t="n">
        <v>0.2042671556759763</v>
      </c>
      <c r="K216" t="n">
        <v>0.1511048373928345</v>
      </c>
      <c r="L216" t="b">
        <v>1</v>
      </c>
      <c r="M216" t="b">
        <v>1</v>
      </c>
      <c r="N216" t="inlineStr">
        <is>
          <t>alt</t>
        </is>
      </c>
      <c r="O216" t="n">
        <v>-100</v>
      </c>
      <c r="P216" t="n">
        <v>0.01797</v>
      </c>
      <c r="Q216" t="n">
        <v>100</v>
      </c>
      <c r="R216" t="n">
        <v>0.1467</v>
      </c>
      <c r="S216">
        <f>IMAGE("https://mitra.stanford.edu/kundaje/oak/projects/neuro-variants/variant_position/credible/roussos_2024/variant_figures/roussos_2024.childhood.GLU/rs4970723_count_position.png",4,220,900)</f>
        <v/>
      </c>
      <c r="T216">
        <f>IMAGE("https://mitra.stanford.edu/kundaje/oak/projects/neuro-variants/variant_position/credible/roussos_2024/variant_figures/roussos_2024.childhood.GLU/rs4970723_profile_position.png",4,220,900)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0.0118651956</v>
      </c>
      <c r="G217" t="n">
        <v>0.6150848133582595</v>
      </c>
      <c r="H217" t="n">
        <v>0.0392991277778073</v>
      </c>
      <c r="I217" t="n">
        <v>0.0070446926753823</v>
      </c>
      <c r="J217" t="n">
        <v>0.0299257214089236</v>
      </c>
      <c r="K217" t="n">
        <v>0.4341874219702172</v>
      </c>
      <c r="L217" t="b">
        <v>1</v>
      </c>
      <c r="M217" t="b">
        <v>0</v>
      </c>
      <c r="N217" t="inlineStr">
        <is>
          <t>alt</t>
        </is>
      </c>
      <c r="O217" t="n">
        <v>-50</v>
      </c>
      <c r="P217" t="n">
        <v>0.02417</v>
      </c>
      <c r="Q217" t="n">
        <v>35</v>
      </c>
      <c r="R217" t="n">
        <v>0.1024</v>
      </c>
      <c r="S217">
        <f>IMAGE("https://mitra.stanford.edu/kundaje/oak/projects/neuro-variants/variant_position/credible/roussos_2024/variant_figures/roussos_2024.childhood.GLU/rs12044989_count_position.png",4,220,900)</f>
        <v/>
      </c>
      <c r="T217">
        <f>IMAGE("https://mitra.stanford.edu/kundaje/oak/projects/neuro-variants/variant_position/credible/roussos_2024/variant_figures/roussos_2024.childhood.GLU/rs12044989_profile_position.png",4,220,900)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-0.0521087126</v>
      </c>
      <c r="G218" t="n">
        <v>0.1719712925261403</v>
      </c>
      <c r="H218" t="n">
        <v>0.0101190062361442</v>
      </c>
      <c r="I218" t="n">
        <v>0.643659129088799</v>
      </c>
      <c r="J218" t="n">
        <v>6.078275830096472e-05</v>
      </c>
      <c r="K218" t="n">
        <v>0.9578366364376828</v>
      </c>
      <c r="L218" t="b">
        <v>0</v>
      </c>
      <c r="M218" t="b">
        <v>0</v>
      </c>
      <c r="N218" t="inlineStr">
        <is>
          <t>ref</t>
        </is>
      </c>
      <c r="O218" t="n">
        <v>-100</v>
      </c>
      <c r="P218" t="n">
        <v>0.004036</v>
      </c>
      <c r="Q218" t="n">
        <v>-100</v>
      </c>
      <c r="R218" t="n">
        <v>0.0598</v>
      </c>
      <c r="S218">
        <f>IMAGE("https://mitra.stanford.edu/kundaje/oak/projects/neuro-variants/variant_position/credible/roussos_2024/variant_figures/roussos_2024.childhood.GLU/rs56732321_count_position.png",4,220,900)</f>
        <v/>
      </c>
      <c r="T218">
        <f>IMAGE("https://mitra.stanford.edu/kundaje/oak/projects/neuro-variants/variant_position/credible/roussos_2024/variant_figures/roussos_2024.childhood.GLU/rs56732321_profile_position.png",4,220,900)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-0.00938904288</v>
      </c>
      <c r="G219" t="n">
        <v>0.4560734008586026</v>
      </c>
      <c r="H219" t="n">
        <v>0.0100309373648194</v>
      </c>
      <c r="I219" t="n">
        <v>0.6235197657684296</v>
      </c>
      <c r="J219" t="n">
        <v>0.2326702174786487</v>
      </c>
      <c r="K219" t="n">
        <v>0.1299094819650354</v>
      </c>
      <c r="L219" t="b">
        <v>0</v>
      </c>
      <c r="M219" t="b">
        <v>0</v>
      </c>
      <c r="N219" t="inlineStr">
        <is>
          <t>ref</t>
        </is>
      </c>
      <c r="O219" t="n">
        <v>-100</v>
      </c>
      <c r="P219" t="n">
        <v>0.06909999999999999</v>
      </c>
      <c r="Q219" t="n">
        <v>-10</v>
      </c>
      <c r="R219" t="n">
        <v>0.1273</v>
      </c>
      <c r="S219">
        <f>IMAGE("https://mitra.stanford.edu/kundaje/oak/projects/neuro-variants/variant_position/credible/roussos_2024/variant_figures/roussos_2024.childhood.GLU/rs11165939_count_position.png",4,220,900)</f>
        <v/>
      </c>
      <c r="T219">
        <f>IMAGE("https://mitra.stanford.edu/kundaje/oak/projects/neuro-variants/variant_position/credible/roussos_2024/variant_figures/roussos_2024.childhood.GLU/rs11165939_profile_position.png",4,220,900)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-0.0286272474</v>
      </c>
      <c r="G220" t="n">
        <v>0.3660424385220915</v>
      </c>
      <c r="H220" t="n">
        <v>0.0100564918743574</v>
      </c>
      <c r="I220" t="n">
        <v>0.6448613232588061</v>
      </c>
      <c r="J220" t="n">
        <v>0.0021212152430794</v>
      </c>
      <c r="K220" t="n">
        <v>0.7641262336819951</v>
      </c>
      <c r="L220" t="b">
        <v>0</v>
      </c>
      <c r="M220" t="b">
        <v>0</v>
      </c>
      <c r="N220" t="inlineStr">
        <is>
          <t>ref</t>
        </is>
      </c>
      <c r="O220" t="n">
        <v>100</v>
      </c>
      <c r="P220" t="n">
        <v>0.04553</v>
      </c>
      <c r="Q220" t="n">
        <v>100</v>
      </c>
      <c r="R220" t="n">
        <v>0.1553</v>
      </c>
      <c r="S220">
        <f>IMAGE("https://mitra.stanford.edu/kundaje/oak/projects/neuro-variants/variant_position/credible/roussos_2024/variant_figures/roussos_2024.childhood.GLU/rs12077962_count_position.png",4,220,900)</f>
        <v/>
      </c>
      <c r="T220">
        <f>IMAGE("https://mitra.stanford.edu/kundaje/oak/projects/neuro-variants/variant_position/credible/roussos_2024/variant_figures/roussos_2024.childhood.GLU/rs12077962_profile_position.png",4,220,900)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0.0057250060399999</v>
      </c>
      <c r="G221" t="n">
        <v>0.6767159402658468</v>
      </c>
      <c r="H221" t="n">
        <v>0.0325253698054232</v>
      </c>
      <c r="I221" t="n">
        <v>0.0152939149406288</v>
      </c>
      <c r="J221" t="n">
        <v>0.0066819825481368</v>
      </c>
      <c r="K221" t="n">
        <v>0.6551808624600858</v>
      </c>
      <c r="L221" t="b">
        <v>0</v>
      </c>
      <c r="M221" t="b">
        <v>0</v>
      </c>
      <c r="N221" t="inlineStr">
        <is>
          <t>alt</t>
        </is>
      </c>
      <c r="O221" t="n">
        <v>-40</v>
      </c>
      <c r="P221" t="n">
        <v>0.00545</v>
      </c>
      <c r="Q221" t="n">
        <v>-65</v>
      </c>
      <c r="R221" t="n">
        <v>0.04385</v>
      </c>
      <c r="S221">
        <f>IMAGE("https://mitra.stanford.edu/kundaje/oak/projects/neuro-variants/variant_position/credible/roussos_2024/variant_figures/roussos_2024.childhood.GLU/rs1198572_count_position.png",4,220,900)</f>
        <v/>
      </c>
      <c r="T221">
        <f>IMAGE("https://mitra.stanford.edu/kundaje/oak/projects/neuro-variants/variant_position/credible/roussos_2024/variant_figures/roussos_2024.childhood.GLU/rs1198572_profile_position.png",4,220,900)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-0.00026019818</v>
      </c>
      <c r="G222" t="n">
        <v>0.6553102134479599</v>
      </c>
      <c r="H222" t="n">
        <v>0.0162171374216309</v>
      </c>
      <c r="I222" t="n">
        <v>0.1951143422895672</v>
      </c>
      <c r="J222" t="n">
        <v>0.0456591838626927</v>
      </c>
      <c r="K222" t="n">
        <v>0.3692783486206709</v>
      </c>
      <c r="L222" t="b">
        <v>0</v>
      </c>
      <c r="M222" t="b">
        <v>0</v>
      </c>
      <c r="N222" t="inlineStr">
        <is>
          <t>ref</t>
        </is>
      </c>
      <c r="O222" t="n">
        <v>-100</v>
      </c>
      <c r="P222" t="n">
        <v>0.02101</v>
      </c>
      <c r="Q222" t="n">
        <v>-100</v>
      </c>
      <c r="R222" t="n">
        <v>0.06909999999999999</v>
      </c>
      <c r="S222">
        <f>IMAGE("https://mitra.stanford.edu/kundaje/oak/projects/neuro-variants/variant_position/credible/roussos_2024/variant_figures/roussos_2024.childhood.GLU/rs1702294_count_position.png",4,220,900)</f>
        <v/>
      </c>
      <c r="T222">
        <f>IMAGE("https://mitra.stanford.edu/kundaje/oak/projects/neuro-variants/variant_position/credible/roussos_2024/variant_figures/roussos_2024.childhood.GLU/rs1702294_profile_position.png",4,220,900)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0.0402107552</v>
      </c>
      <c r="G223" t="n">
        <v>0.2404196468452873</v>
      </c>
      <c r="H223" t="n">
        <v>0.0191900776772043</v>
      </c>
      <c r="I223" t="n">
        <v>0.1141015081470512</v>
      </c>
      <c r="J223" t="n">
        <v>0.008030535609424299</v>
      </c>
      <c r="K223" t="n">
        <v>0.6161126649691662</v>
      </c>
      <c r="L223" t="b">
        <v>0</v>
      </c>
      <c r="M223" t="b">
        <v>0</v>
      </c>
      <c r="N223" t="inlineStr">
        <is>
          <t>alt</t>
        </is>
      </c>
      <c r="O223" t="n">
        <v>-100</v>
      </c>
      <c r="P223" t="n">
        <v>0.002647</v>
      </c>
      <c r="Q223" t="n">
        <v>60</v>
      </c>
      <c r="R223" t="n">
        <v>0.02939</v>
      </c>
      <c r="S223">
        <f>IMAGE("https://mitra.stanford.edu/kundaje/oak/projects/neuro-variants/variant_position/credible/roussos_2024/variant_figures/roussos_2024.childhood.GLU/rs1702291_count_position.png",4,220,900)</f>
        <v/>
      </c>
      <c r="T223">
        <f>IMAGE("https://mitra.stanford.edu/kundaje/oak/projects/neuro-variants/variant_position/credible/roussos_2024/variant_figures/roussos_2024.childhood.GLU/rs1702291_profile_position.png",4,220,900)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0.0214888489999999</v>
      </c>
      <c r="G224" t="n">
        <v>0.3723860408225013</v>
      </c>
      <c r="H224" t="n">
        <v>0.0154041011036793</v>
      </c>
      <c r="I224" t="n">
        <v>0.2345537460493767</v>
      </c>
      <c r="J224" t="n">
        <v>0.0582844839131733</v>
      </c>
      <c r="K224" t="n">
        <v>0.329615829923086</v>
      </c>
      <c r="L224" t="b">
        <v>0</v>
      </c>
      <c r="M224" t="b">
        <v>0</v>
      </c>
      <c r="N224" t="inlineStr">
        <is>
          <t>alt</t>
        </is>
      </c>
      <c r="O224" t="n">
        <v>-100</v>
      </c>
      <c r="P224" t="n">
        <v>0.009636</v>
      </c>
      <c r="Q224" t="n">
        <v>85</v>
      </c>
      <c r="R224" t="n">
        <v>0.03955</v>
      </c>
      <c r="S224">
        <f>IMAGE("https://mitra.stanford.edu/kundaje/oak/projects/neuro-variants/variant_position/credible/roussos_2024/variant_figures/roussos_2024.childhood.GLU/rs11808051_count_position.png",4,220,900)</f>
        <v/>
      </c>
      <c r="T224">
        <f>IMAGE("https://mitra.stanford.edu/kundaje/oak/projects/neuro-variants/variant_position/credible/roussos_2024/variant_figures/roussos_2024.childhood.GLU/rs11808051_profile_position.png",4,220,900)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-0.0401249378</v>
      </c>
      <c r="G225" t="n">
        <v>0.2184064237504121</v>
      </c>
      <c r="H225" t="n">
        <v>0.0266794335289668</v>
      </c>
      <c r="I225" t="n">
        <v>0.0334512226639302</v>
      </c>
      <c r="J225" t="n">
        <v>0.0180473281341753</v>
      </c>
      <c r="K225" t="n">
        <v>0.5188480079748109</v>
      </c>
      <c r="L225" t="b">
        <v>0</v>
      </c>
      <c r="M225" t="b">
        <v>0</v>
      </c>
      <c r="N225" t="inlineStr">
        <is>
          <t>ref</t>
        </is>
      </c>
      <c r="O225" t="n">
        <v>-65</v>
      </c>
      <c r="P225" t="n">
        <v>0.00946</v>
      </c>
      <c r="Q225" t="n">
        <v>-100</v>
      </c>
      <c r="R225" t="n">
        <v>0.2012</v>
      </c>
      <c r="S225">
        <f>IMAGE("https://mitra.stanford.edu/kundaje/oak/projects/neuro-variants/variant_position/credible/roussos_2024/variant_figures/roussos_2024.childhood.GLU/rs12027634_count_position.png",4,220,900)</f>
        <v/>
      </c>
      <c r="T225">
        <f>IMAGE("https://mitra.stanford.edu/kundaje/oak/projects/neuro-variants/variant_position/credible/roussos_2024/variant_figures/roussos_2024.childhood.GLU/rs12027634_profile_position.png",4,220,900)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0.06490298</v>
      </c>
      <c r="G226" t="n">
        <v>0.1116696608208019</v>
      </c>
      <c r="H226" t="n">
        <v>0.0132457382531485</v>
      </c>
      <c r="I226" t="n">
        <v>0.3565910819406414</v>
      </c>
      <c r="J226" t="n">
        <v>0.0362368261098004</v>
      </c>
      <c r="K226" t="n">
        <v>0.4064137008019297</v>
      </c>
      <c r="L226" t="b">
        <v>0</v>
      </c>
      <c r="M226" t="b">
        <v>0</v>
      </c>
      <c r="N226" t="inlineStr">
        <is>
          <t>alt</t>
        </is>
      </c>
      <c r="O226" t="n">
        <v>100</v>
      </c>
      <c r="P226" t="n">
        <v>0.1855</v>
      </c>
      <c r="Q226" t="n">
        <v>100</v>
      </c>
      <c r="R226" t="n">
        <v>0.052</v>
      </c>
      <c r="S226">
        <f>IMAGE("https://mitra.stanford.edu/kundaje/oak/projects/neuro-variants/variant_position/credible/roussos_2024/variant_figures/roussos_2024.childhood.GLU/rs4950095_count_position.png",4,220,900)</f>
        <v/>
      </c>
      <c r="T226">
        <f>IMAGE("https://mitra.stanford.edu/kundaje/oak/projects/neuro-variants/variant_position/credible/roussos_2024/variant_figures/roussos_2024.childhood.GLU/rs4950095_profile_position.png",4,220,900)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0.0012020904999999</v>
      </c>
      <c r="G227" t="n">
        <v>0.7350443381537572</v>
      </c>
      <c r="H227" t="n">
        <v>0.0135804537843027</v>
      </c>
      <c r="I227" t="n">
        <v>0.3305782394756939</v>
      </c>
      <c r="J227" t="n">
        <v>0.0083756580506247</v>
      </c>
      <c r="K227" t="n">
        <v>0.6145656105360071</v>
      </c>
      <c r="L227" t="b">
        <v>0</v>
      </c>
      <c r="M227" t="b">
        <v>0</v>
      </c>
      <c r="N227" t="inlineStr">
        <is>
          <t>alt</t>
        </is>
      </c>
      <c r="O227" t="n">
        <v>90</v>
      </c>
      <c r="P227" t="n">
        <v>0.0057</v>
      </c>
      <c r="Q227" t="n">
        <v>40</v>
      </c>
      <c r="R227" t="n">
        <v>0.05014</v>
      </c>
      <c r="S227">
        <f>IMAGE("https://mitra.stanford.edu/kundaje/oak/projects/neuro-variants/variant_position/credible/roussos_2024/variant_figures/roussos_2024.childhood.GLU/rs12567725_count_position.png",4,220,900)</f>
        <v/>
      </c>
      <c r="T227">
        <f>IMAGE("https://mitra.stanford.edu/kundaje/oak/projects/neuro-variants/variant_position/credible/roussos_2024/variant_figures/roussos_2024.childhood.GLU/rs12567725_profile_position.png",4,220,900)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0.000258414142</v>
      </c>
      <c r="G228" t="n">
        <v>0.9296352520793504</v>
      </c>
      <c r="H228" t="n">
        <v>0.0211110974229708</v>
      </c>
      <c r="I228" t="n">
        <v>0.0821889623031568</v>
      </c>
      <c r="J228" t="n">
        <v>0.0005985556368281</v>
      </c>
      <c r="K228" t="n">
        <v>0.8597448566464496</v>
      </c>
      <c r="L228" t="b">
        <v>0</v>
      </c>
      <c r="M228" t="b">
        <v>0</v>
      </c>
      <c r="N228" t="inlineStr">
        <is>
          <t>alt</t>
        </is>
      </c>
      <c r="O228" t="n">
        <v>-85</v>
      </c>
      <c r="P228" t="n">
        <v>0.01298</v>
      </c>
      <c r="Q228" t="n">
        <v>-85</v>
      </c>
      <c r="R228" t="n">
        <v>0.0813</v>
      </c>
      <c r="S228">
        <f>IMAGE("https://mitra.stanford.edu/kundaje/oak/projects/neuro-variants/variant_position/credible/roussos_2024/variant_figures/roussos_2024.childhood.GLU/rs2046585_count_position.png",4,220,900)</f>
        <v/>
      </c>
      <c r="T228">
        <f>IMAGE("https://mitra.stanford.edu/kundaje/oak/projects/neuro-variants/variant_position/credible/roussos_2024/variant_figures/roussos_2024.childhood.GLU/rs2046585_profile_position.png",4,220,900)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0.0808125252</v>
      </c>
      <c r="G229" t="n">
        <v>0.07698125918547109</v>
      </c>
      <c r="H229" t="n">
        <v>0.015394141119578</v>
      </c>
      <c r="I229" t="n">
        <v>0.2406407905403871</v>
      </c>
      <c r="J229" t="n">
        <v>0.0167904643184604</v>
      </c>
      <c r="K229" t="n">
        <v>0.52244003283915</v>
      </c>
      <c r="L229" t="b">
        <v>0</v>
      </c>
      <c r="M229" t="b">
        <v>0</v>
      </c>
      <c r="N229" t="inlineStr">
        <is>
          <t>alt</t>
        </is>
      </c>
      <c r="O229" t="n">
        <v>-30</v>
      </c>
      <c r="P229" t="n">
        <v>0.0072</v>
      </c>
      <c r="Q229" t="n">
        <v>-20</v>
      </c>
      <c r="R229" t="n">
        <v>0.0442</v>
      </c>
      <c r="S229">
        <f>IMAGE("https://mitra.stanford.edu/kundaje/oak/projects/neuro-variants/variant_position/credible/roussos_2024/variant_figures/roussos_2024.childhood.GLU/rs77509205_count_position.png",4,220,900)</f>
        <v/>
      </c>
      <c r="T229">
        <f>IMAGE("https://mitra.stanford.edu/kundaje/oak/projects/neuro-variants/variant_position/credible/roussos_2024/variant_figures/roussos_2024.childhood.GLU/rs77509205_profile_position.png",4,220,900)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-0.0749875431999999</v>
      </c>
      <c r="G230" t="n">
        <v>0.0876763619947597</v>
      </c>
      <c r="H230" t="n">
        <v>0.0191001192552923</v>
      </c>
      <c r="I230" t="n">
        <v>0.1141111516803337</v>
      </c>
      <c r="J230" t="n">
        <v>0.0705811449823317</v>
      </c>
      <c r="K230" t="n">
        <v>0.2985639495057988</v>
      </c>
      <c r="L230" t="b">
        <v>0</v>
      </c>
      <c r="M230" t="b">
        <v>0</v>
      </c>
      <c r="N230" t="inlineStr">
        <is>
          <t>ref</t>
        </is>
      </c>
      <c r="O230" t="n">
        <v>-35</v>
      </c>
      <c r="P230" t="n">
        <v>0.0098</v>
      </c>
      <c r="Q230" t="n">
        <v>-25</v>
      </c>
      <c r="R230" t="n">
        <v>0.05908</v>
      </c>
      <c r="S230">
        <f>IMAGE("https://mitra.stanford.edu/kundaje/oak/projects/neuro-variants/variant_position/credible/roussos_2024/variant_figures/roussos_2024.childhood.GLU/rs6537851_count_position.png",4,220,900)</f>
        <v/>
      </c>
      <c r="T230">
        <f>IMAGE("https://mitra.stanford.edu/kundaje/oak/projects/neuro-variants/variant_position/credible/roussos_2024/variant_figures/roussos_2024.childhood.GLU/rs6537851_profile_position.png",4,220,900)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-0.009070675800000001</v>
      </c>
      <c r="G231" t="n">
        <v>0.3255204899727266</v>
      </c>
      <c r="H231" t="n">
        <v>0.01320910023289</v>
      </c>
      <c r="I231" t="n">
        <v>0.3754425923995294</v>
      </c>
      <c r="J231" t="n">
        <v>0.4677181740447319</v>
      </c>
      <c r="K231" t="n">
        <v>0.0489861579354433</v>
      </c>
      <c r="L231" t="b">
        <v>0</v>
      </c>
      <c r="M231" t="b">
        <v>0</v>
      </c>
      <c r="N231" t="inlineStr">
        <is>
          <t>ref</t>
        </is>
      </c>
      <c r="O231" t="n">
        <v>-25</v>
      </c>
      <c r="P231" t="n">
        <v>0.001648</v>
      </c>
      <c r="Q231" t="n">
        <v>-80</v>
      </c>
      <c r="R231" t="n">
        <v>0.04102</v>
      </c>
      <c r="S231">
        <f>IMAGE("https://mitra.stanford.edu/kundaje/oak/projects/neuro-variants/variant_position/credible/roussos_2024/variant_figures/roussos_2024.childhood.GLU/rs11102896_count_position.png",4,220,900)</f>
        <v/>
      </c>
      <c r="T231">
        <f>IMAGE("https://mitra.stanford.edu/kundaje/oak/projects/neuro-variants/variant_position/credible/roussos_2024/variant_figures/roussos_2024.childhood.GLU/rs11102896_profile_position.png",4,220,900)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0.142568532</v>
      </c>
      <c r="G232" t="n">
        <v>0.0202122293814976</v>
      </c>
      <c r="H232" t="n">
        <v>0.0381387796356037</v>
      </c>
      <c r="I232" t="n">
        <v>0.0083645053254833</v>
      </c>
      <c r="J232" t="n">
        <v>0.0102218055569863</v>
      </c>
      <c r="K232" t="n">
        <v>0.6057086683016806</v>
      </c>
      <c r="L232" t="b">
        <v>1</v>
      </c>
      <c r="M232" t="b">
        <v>0</v>
      </c>
      <c r="N232" t="inlineStr">
        <is>
          <t>alt</t>
        </is>
      </c>
      <c r="O232" t="n">
        <v>100</v>
      </c>
      <c r="P232" t="n">
        <v>0.00779</v>
      </c>
      <c r="Q232" t="n">
        <v>-70</v>
      </c>
      <c r="R232" t="n">
        <v>0.04028</v>
      </c>
      <c r="S232">
        <f>IMAGE("https://mitra.stanford.edu/kundaje/oak/projects/neuro-variants/variant_position/credible/roussos_2024/variant_figures/roussos_2024.childhood.GLU/rs2223926_count_position.png",4,220,900)</f>
        <v/>
      </c>
      <c r="T232">
        <f>IMAGE("https://mitra.stanford.edu/kundaje/oak/projects/neuro-variants/variant_position/credible/roussos_2024/variant_figures/roussos_2024.childhood.GLU/rs2223926_profile_position.png",4,220,900)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-0.0297536381999999</v>
      </c>
      <c r="G233" t="n">
        <v>0.3389944221848424</v>
      </c>
      <c r="H233" t="n">
        <v>0.0349103010905328</v>
      </c>
      <c r="I233" t="n">
        <v>0.0113447765311845</v>
      </c>
      <c r="J233" t="n">
        <v>0.0033482027877651</v>
      </c>
      <c r="K233" t="n">
        <v>0.7224675454619466</v>
      </c>
      <c r="L233" t="b">
        <v>0</v>
      </c>
      <c r="M233" t="b">
        <v>0</v>
      </c>
      <c r="N233" t="inlineStr">
        <is>
          <t>ref</t>
        </is>
      </c>
      <c r="O233" t="n">
        <v>75</v>
      </c>
      <c r="P233" t="n">
        <v>0.004303</v>
      </c>
      <c r="Q233" t="n">
        <v>100</v>
      </c>
      <c r="R233" t="n">
        <v>0.09093999999999999</v>
      </c>
      <c r="S233">
        <f>IMAGE("https://mitra.stanford.edu/kundaje/oak/projects/neuro-variants/variant_position/credible/roussos_2024/variant_figures/roussos_2024.childhood.GLU/rs12745199_count_position.png",4,220,900)</f>
        <v/>
      </c>
      <c r="T233">
        <f>IMAGE("https://mitra.stanford.edu/kundaje/oak/projects/neuro-variants/variant_position/credible/roussos_2024/variant_figures/roussos_2024.childhood.GLU/rs12745199_profile_position.png",4,220,900)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-0.0129573518</v>
      </c>
      <c r="G234" t="n">
        <v>0.6109816213943617</v>
      </c>
      <c r="H234" t="n">
        <v>0.0196444662023732</v>
      </c>
      <c r="I234" t="n">
        <v>0.1050624829100557</v>
      </c>
      <c r="J234" t="n">
        <v>0.0031370084580752</v>
      </c>
      <c r="K234" t="n">
        <v>0.7219196687580302</v>
      </c>
      <c r="L234" t="b">
        <v>0</v>
      </c>
      <c r="M234" t="b">
        <v>0</v>
      </c>
      <c r="N234" t="inlineStr">
        <is>
          <t>ref</t>
        </is>
      </c>
      <c r="O234" t="n">
        <v>55</v>
      </c>
      <c r="P234" t="n">
        <v>0.01535</v>
      </c>
      <c r="Q234" t="n">
        <v>100</v>
      </c>
      <c r="R234" t="n">
        <v>0.09937</v>
      </c>
      <c r="S234">
        <f>IMAGE("https://mitra.stanford.edu/kundaje/oak/projects/neuro-variants/variant_position/credible/roussos_2024/variant_figures/roussos_2024.childhood.GLU/rs6687454_count_position.png",4,220,900)</f>
        <v/>
      </c>
      <c r="T234">
        <f>IMAGE("https://mitra.stanford.edu/kundaje/oak/projects/neuro-variants/variant_position/credible/roussos_2024/variant_figures/roussos_2024.childhood.GLU/rs6687454_profile_position.png",4,220,900)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-0.1742040292</v>
      </c>
      <c r="G235" t="n">
        <v>0.0132839251019519</v>
      </c>
      <c r="H235" t="n">
        <v>0.0430624071006972</v>
      </c>
      <c r="I235" t="n">
        <v>0.0056290677304316</v>
      </c>
      <c r="J235" t="n">
        <v>0.0162176640876919</v>
      </c>
      <c r="K235" t="n">
        <v>0.5177951438065242</v>
      </c>
      <c r="L235" t="b">
        <v>1</v>
      </c>
      <c r="M235" t="b">
        <v>0</v>
      </c>
      <c r="N235" t="inlineStr">
        <is>
          <t>ref</t>
        </is>
      </c>
      <c r="O235" t="n">
        <v>75</v>
      </c>
      <c r="P235" t="n">
        <v>0.009766</v>
      </c>
      <c r="Q235" t="n">
        <v>-15</v>
      </c>
      <c r="R235" t="n">
        <v>0.01428</v>
      </c>
      <c r="S235">
        <f>IMAGE("https://mitra.stanford.edu/kundaje/oak/projects/neuro-variants/variant_position/credible/roussos_2024/variant_figures/roussos_2024.childhood.GLU/rs77391665_count_position.png",4,220,900)</f>
        <v/>
      </c>
      <c r="T235">
        <f>IMAGE("https://mitra.stanford.edu/kundaje/oak/projects/neuro-variants/variant_position/credible/roussos_2024/variant_figures/roussos_2024.childhood.GLU/rs77391665_profile_position.png",4,220,900)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0.0077860512199999</v>
      </c>
      <c r="G236" t="n">
        <v>0.6837314981753391</v>
      </c>
      <c r="H236" t="n">
        <v>0.0208814821549463</v>
      </c>
      <c r="I236" t="n">
        <v>0.08416719203086161</v>
      </c>
      <c r="J236" t="n">
        <v>0.0012692264106235</v>
      </c>
      <c r="K236" t="n">
        <v>0.8069212559033784</v>
      </c>
      <c r="L236" t="b">
        <v>0</v>
      </c>
      <c r="M236" t="b">
        <v>0</v>
      </c>
      <c r="N236" t="inlineStr">
        <is>
          <t>alt</t>
        </is>
      </c>
      <c r="O236" t="n">
        <v>-5</v>
      </c>
      <c r="P236" t="n">
        <v>0.000977</v>
      </c>
      <c r="Q236" t="n">
        <v>-65</v>
      </c>
      <c r="R236" t="n">
        <v>0.07489999999999999</v>
      </c>
      <c r="S236">
        <f>IMAGE("https://mitra.stanford.edu/kundaje/oak/projects/neuro-variants/variant_position/credible/roussos_2024/variant_figures/roussos_2024.childhood.GLU/rs12063059_count_position.png",4,220,900)</f>
        <v/>
      </c>
      <c r="T236">
        <f>IMAGE("https://mitra.stanford.edu/kundaje/oak/projects/neuro-variants/variant_position/credible/roussos_2024/variant_figures/roussos_2024.childhood.GLU/rs12063059_profile_position.png",4,220,900)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0.1087473659999999</v>
      </c>
      <c r="G237" t="n">
        <v>0.0387061342958625</v>
      </c>
      <c r="H237" t="n">
        <v>0.0175020944514137</v>
      </c>
      <c r="I237" t="n">
        <v>0.1527514763076227</v>
      </c>
      <c r="J237" t="n">
        <v>0.009756147815426299</v>
      </c>
      <c r="K237" t="n">
        <v>0.5957393885969325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0.0396</v>
      </c>
      <c r="Q237" t="n">
        <v>85</v>
      </c>
      <c r="R237" t="n">
        <v>0.1011</v>
      </c>
      <c r="S237">
        <f>IMAGE("https://mitra.stanford.edu/kundaje/oak/projects/neuro-variants/variant_position/credible/roussos_2024/variant_figures/roussos_2024.childhood.GLU/rs72692865_count_position.png",4,220,900)</f>
        <v/>
      </c>
      <c r="T237">
        <f>IMAGE("https://mitra.stanford.edu/kundaje/oak/projects/neuro-variants/variant_position/credible/roussos_2024/variant_figures/roussos_2024.childhood.GLU/rs72692865_profile_position.png",4,220,900)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-0.003520135168</v>
      </c>
      <c r="G238" t="n">
        <v>0.8089979274735868</v>
      </c>
      <c r="H238" t="n">
        <v>0.0304040239664164</v>
      </c>
      <c r="I238" t="n">
        <v>0.0198149935809304</v>
      </c>
      <c r="J238" t="n">
        <v>0.00583823544562</v>
      </c>
      <c r="K238" t="n">
        <v>0.6506451065651</v>
      </c>
      <c r="L238" t="b">
        <v>0</v>
      </c>
      <c r="M238" t="b">
        <v>0</v>
      </c>
      <c r="N238" t="inlineStr">
        <is>
          <t>ref</t>
        </is>
      </c>
      <c r="O238" t="n">
        <v>-95</v>
      </c>
      <c r="P238" t="n">
        <v>0.08309999999999999</v>
      </c>
      <c r="Q238" t="n">
        <v>85</v>
      </c>
      <c r="R238" t="n">
        <v>0.04718</v>
      </c>
      <c r="S238">
        <f>IMAGE("https://mitra.stanford.edu/kundaje/oak/projects/neuro-variants/variant_position/credible/roussos_2024/variant_figures/roussos_2024.childhood.GLU/rs72692866_count_position.png",4,220,900)</f>
        <v/>
      </c>
      <c r="T238">
        <f>IMAGE("https://mitra.stanford.edu/kundaje/oak/projects/neuro-variants/variant_position/credible/roussos_2024/variant_figures/roussos_2024.childhood.GLU/rs72692866_profile_position.png",4,220,900)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0.0147455677999999</v>
      </c>
      <c r="G239" t="n">
        <v>0.5479012398851731</v>
      </c>
      <c r="H239" t="n">
        <v>0.0303505927075738</v>
      </c>
      <c r="I239" t="n">
        <v>0.0201453265928941</v>
      </c>
      <c r="J239" t="n">
        <v>0.059143684259326</v>
      </c>
      <c r="K239" t="n">
        <v>0.325116872708348</v>
      </c>
      <c r="L239" t="b">
        <v>0</v>
      </c>
      <c r="M239" t="b">
        <v>0</v>
      </c>
      <c r="N239" t="inlineStr">
        <is>
          <t>alt</t>
        </is>
      </c>
      <c r="O239" t="n">
        <v>100</v>
      </c>
      <c r="P239" t="n">
        <v>0.03119</v>
      </c>
      <c r="Q239" t="n">
        <v>20</v>
      </c>
      <c r="R239" t="n">
        <v>0.00757</v>
      </c>
      <c r="S239">
        <f>IMAGE("https://mitra.stanford.edu/kundaje/oak/projects/neuro-variants/variant_position/credible/roussos_2024/variant_figures/roussos_2024.childhood.GLU/rs72692870_count_position.png",4,220,900)</f>
        <v/>
      </c>
      <c r="T239">
        <f>IMAGE("https://mitra.stanford.edu/kundaje/oak/projects/neuro-variants/variant_position/credible/roussos_2024/variant_figures/roussos_2024.childhood.GLU/rs72692870_profile_position.png",4,220,900)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-0.00641742926</v>
      </c>
      <c r="G240" t="n">
        <v>0.774259907074641</v>
      </c>
      <c r="H240" t="n">
        <v>0.0257653339676621</v>
      </c>
      <c r="I240" t="n">
        <v>0.0382780718969563</v>
      </c>
      <c r="J240" t="n">
        <v>0.0024972441715515</v>
      </c>
      <c r="K240" t="n">
        <v>0.7517720423036934</v>
      </c>
      <c r="L240" t="b">
        <v>0</v>
      </c>
      <c r="M240" t="b">
        <v>0</v>
      </c>
      <c r="N240" t="inlineStr">
        <is>
          <t>ref</t>
        </is>
      </c>
      <c r="O240" t="n">
        <v>-95</v>
      </c>
      <c r="P240" t="n">
        <v>0.00724</v>
      </c>
      <c r="Q240" t="n">
        <v>60</v>
      </c>
      <c r="R240" t="n">
        <v>0.07605000000000001</v>
      </c>
      <c r="S240">
        <f>IMAGE("https://mitra.stanford.edu/kundaje/oak/projects/neuro-variants/variant_position/credible/roussos_2024/variant_figures/roussos_2024.childhood.GLU/rs12074281_count_position.png",4,220,900)</f>
        <v/>
      </c>
      <c r="T240">
        <f>IMAGE("https://mitra.stanford.edu/kundaje/oak/projects/neuro-variants/variant_position/credible/roussos_2024/variant_figures/roussos_2024.childhood.GLU/rs12074281_profile_position.png",4,220,900)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-0.08392704600000001</v>
      </c>
      <c r="G241" t="n">
        <v>0.0665674484657494</v>
      </c>
      <c r="H241" t="n">
        <v>0.0111596064097976</v>
      </c>
      <c r="I241" t="n">
        <v>0.5359914209019491</v>
      </c>
      <c r="J241" t="n">
        <v>0.00737325764678</v>
      </c>
      <c r="K241" t="n">
        <v>0.6379229257510636</v>
      </c>
      <c r="L241" t="b">
        <v>0</v>
      </c>
      <c r="M241" t="b">
        <v>0</v>
      </c>
      <c r="N241" t="inlineStr">
        <is>
          <t>ref</t>
        </is>
      </c>
      <c r="O241" t="n">
        <v>-65</v>
      </c>
      <c r="P241" t="n">
        <v>0.00804</v>
      </c>
      <c r="Q241" t="n">
        <v>10</v>
      </c>
      <c r="R241" t="n">
        <v>0.0304</v>
      </c>
      <c r="S241">
        <f>IMAGE("https://mitra.stanford.edu/kundaje/oak/projects/neuro-variants/variant_position/credible/roussos_2024/variant_figures/roussos_2024.childhood.GLU/rs56212907_count_position.png",4,220,900)</f>
        <v/>
      </c>
      <c r="T241">
        <f>IMAGE("https://mitra.stanford.edu/kundaje/oak/projects/neuro-variants/variant_position/credible/roussos_2024/variant_figures/roussos_2024.childhood.GLU/rs56212907_profile_position.png",4,220,900)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-0.001234702694</v>
      </c>
      <c r="G242" t="n">
        <v>0.7663937274509313</v>
      </c>
      <c r="H242" t="n">
        <v>0.0321646091695871</v>
      </c>
      <c r="I242" t="n">
        <v>0.0162139478696962</v>
      </c>
      <c r="J242" t="n">
        <v>0.008512676810862501</v>
      </c>
      <c r="K242" t="n">
        <v>0.6067605166866248</v>
      </c>
      <c r="L242" t="b">
        <v>0</v>
      </c>
      <c r="M242" t="b">
        <v>0</v>
      </c>
      <c r="N242" t="inlineStr">
        <is>
          <t>ref</t>
        </is>
      </c>
      <c r="O242" t="n">
        <v>100</v>
      </c>
      <c r="P242" t="n">
        <v>0.02798</v>
      </c>
      <c r="Q242" t="n">
        <v>100</v>
      </c>
      <c r="R242" t="n">
        <v>0.185</v>
      </c>
      <c r="S242">
        <f>IMAGE("https://mitra.stanford.edu/kundaje/oak/projects/neuro-variants/variant_position/credible/roussos_2024/variant_figures/roussos_2024.childhood.GLU/rs72694905_count_position.png",4,220,900)</f>
        <v/>
      </c>
      <c r="T242">
        <f>IMAGE("https://mitra.stanford.edu/kundaje/oak/projects/neuro-variants/variant_position/credible/roussos_2024/variant_figures/roussos_2024.childhood.GLU/rs72694905_profile_position.png",4,220,900)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0.114189362</v>
      </c>
      <c r="G243" t="n">
        <v>0.0389633944097481</v>
      </c>
      <c r="H243" t="n">
        <v>0.0236025808354084</v>
      </c>
      <c r="I243" t="n">
        <v>0.0638176231095316</v>
      </c>
      <c r="J243" t="n">
        <v>0.1680189971875096</v>
      </c>
      <c r="K243" t="n">
        <v>0.1772299835014557</v>
      </c>
      <c r="L243" t="b">
        <v>0</v>
      </c>
      <c r="M243" t="b">
        <v>0</v>
      </c>
      <c r="N243" t="inlineStr">
        <is>
          <t>alt</t>
        </is>
      </c>
      <c r="O243" t="n">
        <v>10</v>
      </c>
      <c r="P243" t="n">
        <v>0.0001945</v>
      </c>
      <c r="Q243" t="n">
        <v>-50</v>
      </c>
      <c r="R243" t="n">
        <v>0.1382</v>
      </c>
      <c r="S243">
        <f>IMAGE("https://mitra.stanford.edu/kundaje/oak/projects/neuro-variants/variant_position/credible/roussos_2024/variant_figures/roussos_2024.childhood.GLU/rs72694928_count_position.png",4,220,900)</f>
        <v/>
      </c>
      <c r="T243">
        <f>IMAGE("https://mitra.stanford.edu/kundaje/oak/projects/neuro-variants/variant_position/credible/roussos_2024/variant_figures/roussos_2024.childhood.GLU/rs72694928_profile_position.png",4,220,900)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0.0177763668199999</v>
      </c>
      <c r="G244" t="n">
        <v>0.4920298495028399</v>
      </c>
      <c r="H244" t="n">
        <v>0.026123654376047</v>
      </c>
      <c r="I244" t="n">
        <v>0.036573965997818</v>
      </c>
      <c r="J244" t="n">
        <v>0.0002554936281124</v>
      </c>
      <c r="K244" t="n">
        <v>0.903007591013126</v>
      </c>
      <c r="L244" t="b">
        <v>0</v>
      </c>
      <c r="M244" t="b">
        <v>0</v>
      </c>
      <c r="N244" t="inlineStr">
        <is>
          <t>alt</t>
        </is>
      </c>
      <c r="O244" t="n">
        <v>-70</v>
      </c>
      <c r="P244" t="n">
        <v>0.002712</v>
      </c>
      <c r="Q244" t="n">
        <v>10</v>
      </c>
      <c r="R244" t="n">
        <v>0.009124999999999999</v>
      </c>
      <c r="S244">
        <f>IMAGE("https://mitra.stanford.edu/kundaje/oak/projects/neuro-variants/variant_position/credible/roussos_2024/variant_figures/roussos_2024.childhood.GLU/rs56369603_count_position.png",4,220,900)</f>
        <v/>
      </c>
      <c r="T244">
        <f>IMAGE("https://mitra.stanford.edu/kundaje/oak/projects/neuro-variants/variant_position/credible/roussos_2024/variant_figures/roussos_2024.childhood.GLU/rs56369603_profile_position.png",4,220,900)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-0.147579788</v>
      </c>
      <c r="G245" t="n">
        <v>0.0201584727735489</v>
      </c>
      <c r="H245" t="n">
        <v>0.0277799188789652</v>
      </c>
      <c r="I245" t="n">
        <v>0.0318247726690796</v>
      </c>
      <c r="J245" t="n">
        <v>0.0199377749389596</v>
      </c>
      <c r="K245" t="n">
        <v>0.4998087967794814</v>
      </c>
      <c r="L245" t="b">
        <v>1</v>
      </c>
      <c r="M245" t="b">
        <v>0</v>
      </c>
      <c r="N245" t="inlineStr">
        <is>
          <t>ref</t>
        </is>
      </c>
      <c r="O245" t="n">
        <v>95</v>
      </c>
      <c r="P245" t="n">
        <v>0.004128</v>
      </c>
      <c r="Q245" t="n">
        <v>-10</v>
      </c>
      <c r="R245" t="n">
        <v>0.002686</v>
      </c>
      <c r="S245">
        <f>IMAGE("https://mitra.stanford.edu/kundaje/oak/projects/neuro-variants/variant_position/credible/roussos_2024/variant_figures/roussos_2024.childhood.GLU/rs72694944_count_position.png",4,220,900)</f>
        <v/>
      </c>
      <c r="T245">
        <f>IMAGE("https://mitra.stanford.edu/kundaje/oak/projects/neuro-variants/variant_position/credible/roussos_2024/variant_figures/roussos_2024.childhood.GLU/rs72694944_profile_position.png",4,220,900)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0.0036211564999999</v>
      </c>
      <c r="G246" t="n">
        <v>0.841547427882167</v>
      </c>
      <c r="H246" t="n">
        <v>0.0232595065039757</v>
      </c>
      <c r="I246" t="n">
        <v>0.0579849146557221</v>
      </c>
      <c r="J246" t="n">
        <v>0.0065964746000185</v>
      </c>
      <c r="K246" t="n">
        <v>0.6410909337472049</v>
      </c>
      <c r="L246" t="b">
        <v>0</v>
      </c>
      <c r="M246" t="b">
        <v>0</v>
      </c>
      <c r="N246" t="inlineStr">
        <is>
          <t>alt</t>
        </is>
      </c>
      <c r="O246" t="n">
        <v>100</v>
      </c>
      <c r="P246" t="n">
        <v>0.00418</v>
      </c>
      <c r="Q246" t="n">
        <v>100</v>
      </c>
      <c r="R246" t="n">
        <v>0.1985</v>
      </c>
      <c r="S246">
        <f>IMAGE("https://mitra.stanford.edu/kundaje/oak/projects/neuro-variants/variant_position/credible/roussos_2024/variant_figures/roussos_2024.childhood.GLU/rs72694960_count_position.png",4,220,900)</f>
        <v/>
      </c>
      <c r="T246">
        <f>IMAGE("https://mitra.stanford.edu/kundaje/oak/projects/neuro-variants/variant_position/credible/roussos_2024/variant_figures/roussos_2024.childhood.GLU/rs72694960_profile_position.png",4,220,900)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0.00386893666</v>
      </c>
      <c r="G247" t="n">
        <v>0.8158518689226204</v>
      </c>
      <c r="H247" t="n">
        <v>0.0134404839441226</v>
      </c>
      <c r="I247" t="n">
        <v>0.3412237027489472</v>
      </c>
      <c r="J247" t="n">
        <v>0.0380685505887685</v>
      </c>
      <c r="K247" t="n">
        <v>0.3886881388554862</v>
      </c>
      <c r="L247" t="b">
        <v>0</v>
      </c>
      <c r="M247" t="b">
        <v>0</v>
      </c>
      <c r="N247" t="inlineStr">
        <is>
          <t>alt</t>
        </is>
      </c>
      <c r="O247" t="n">
        <v>100</v>
      </c>
      <c r="P247" t="n">
        <v>0.009705</v>
      </c>
      <c r="Q247" t="n">
        <v>-100</v>
      </c>
      <c r="R247" t="n">
        <v>0.0823</v>
      </c>
      <c r="S247">
        <f>IMAGE("https://mitra.stanford.edu/kundaje/oak/projects/neuro-variants/variant_position/credible/roussos_2024/variant_figures/roussos_2024.childhood.GLU/rs11204824_count_position.png",4,220,900)</f>
        <v/>
      </c>
      <c r="T247">
        <f>IMAGE("https://mitra.stanford.edu/kundaje/oak/projects/neuro-variants/variant_position/credible/roussos_2024/variant_figures/roussos_2024.childhood.GLU/rs11204824_profile_position.png",4,220,900)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0.0580900341999999</v>
      </c>
      <c r="G248" t="n">
        <v>0.1364190363890811</v>
      </c>
      <c r="H248" t="n">
        <v>0.0217535527078788</v>
      </c>
      <c r="I248" t="n">
        <v>0.0750185288874317</v>
      </c>
      <c r="J248" t="n">
        <v>0.3176486344483707</v>
      </c>
      <c r="K248" t="n">
        <v>0.0906373083469731</v>
      </c>
      <c r="L248" t="b">
        <v>0</v>
      </c>
      <c r="M248" t="b">
        <v>0</v>
      </c>
      <c r="N248" t="inlineStr">
        <is>
          <t>alt</t>
        </is>
      </c>
      <c r="O248" t="n">
        <v>15</v>
      </c>
      <c r="P248" t="n">
        <v>0.003479</v>
      </c>
      <c r="Q248" t="n">
        <v>100</v>
      </c>
      <c r="R248" t="n">
        <v>0.4854</v>
      </c>
      <c r="S248">
        <f>IMAGE("https://mitra.stanford.edu/kundaje/oak/projects/neuro-variants/variant_position/credible/roussos_2024/variant_figures/roussos_2024.childhood.GLU/rs10888415_count_position.png",4,220,900)</f>
        <v/>
      </c>
      <c r="T248">
        <f>IMAGE("https://mitra.stanford.edu/kundaje/oak/projects/neuro-variants/variant_position/credible/roussos_2024/variant_figures/roussos_2024.childhood.GLU/rs10888415_profile_position.png",4,220,900)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0.0207674008</v>
      </c>
      <c r="G249" t="n">
        <v>0.4425562669417751</v>
      </c>
      <c r="H249" t="n">
        <v>0.0418523468587892</v>
      </c>
      <c r="I249" t="n">
        <v>0.0055686890632946</v>
      </c>
      <c r="J249" t="n">
        <v>0.0496378789908001</v>
      </c>
      <c r="K249" t="n">
        <v>0.3612008945748717</v>
      </c>
      <c r="L249" t="b">
        <v>1</v>
      </c>
      <c r="M249" t="b">
        <v>0</v>
      </c>
      <c r="N249" t="inlineStr">
        <is>
          <t>alt</t>
        </is>
      </c>
      <c r="O249" t="n">
        <v>-45</v>
      </c>
      <c r="P249" t="n">
        <v>0.00891</v>
      </c>
      <c r="Q249" t="n">
        <v>-25</v>
      </c>
      <c r="R249" t="n">
        <v>0.146</v>
      </c>
      <c r="S249">
        <f>IMAGE("https://mitra.stanford.edu/kundaje/oak/projects/neuro-variants/variant_position/credible/roussos_2024/variant_figures/roussos_2024.childhood.GLU/rs58479084_count_position.png",4,220,900)</f>
        <v/>
      </c>
      <c r="T249">
        <f>IMAGE("https://mitra.stanford.edu/kundaje/oak/projects/neuro-variants/variant_position/credible/roussos_2024/variant_figures/roussos_2024.childhood.GLU/rs58479084_profile_position.png",4,220,900)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-0.0065437685999999</v>
      </c>
      <c r="G250" t="n">
        <v>0.7871813125819054</v>
      </c>
      <c r="H250" t="n">
        <v>0.0360812724625516</v>
      </c>
      <c r="I250" t="n">
        <v>0.0102907718695023</v>
      </c>
      <c r="J250" t="n">
        <v>0.0113334088825243</v>
      </c>
      <c r="K250" t="n">
        <v>0.5686684933955438</v>
      </c>
      <c r="L250" t="b">
        <v>1</v>
      </c>
      <c r="M250" t="b">
        <v>0</v>
      </c>
      <c r="N250" t="inlineStr">
        <is>
          <t>ref</t>
        </is>
      </c>
      <c r="O250" t="n">
        <v>100</v>
      </c>
      <c r="P250" t="n">
        <v>0.01083</v>
      </c>
      <c r="Q250" t="n">
        <v>75</v>
      </c>
      <c r="R250" t="n">
        <v>0.0835</v>
      </c>
      <c r="S250">
        <f>IMAGE("https://mitra.stanford.edu/kundaje/oak/projects/neuro-variants/variant_position/credible/roussos_2024/variant_figures/roussos_2024.childhood.GLU/rs144529710_count_position.png",4,220,900)</f>
        <v/>
      </c>
      <c r="T250">
        <f>IMAGE("https://mitra.stanford.edu/kundaje/oak/projects/neuro-variants/variant_position/credible/roussos_2024/variant_figures/roussos_2024.childhood.GLU/rs144529710_profile_position.png",4,220,900)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-0.0734349123</v>
      </c>
      <c r="G251" t="n">
        <v>0.100986156076009</v>
      </c>
      <c r="H251" t="n">
        <v>0.0184284905379799</v>
      </c>
      <c r="I251" t="n">
        <v>0.1381395634735308</v>
      </c>
      <c r="J251" t="n">
        <v>0.0665942081242852</v>
      </c>
      <c r="K251" t="n">
        <v>0.3083843557528812</v>
      </c>
      <c r="L251" t="b">
        <v>0</v>
      </c>
      <c r="M251" t="b">
        <v>0</v>
      </c>
      <c r="N251" t="inlineStr">
        <is>
          <t>ref</t>
        </is>
      </c>
      <c r="O251" t="n">
        <v>100</v>
      </c>
      <c r="P251" t="n">
        <v>0.0124</v>
      </c>
      <c r="Q251" t="n">
        <v>55</v>
      </c>
      <c r="R251" t="n">
        <v>0.06506000000000001</v>
      </c>
      <c r="S251">
        <f>IMAGE("https://mitra.stanford.edu/kundaje/oak/projects/neuro-variants/variant_position/credible/roussos_2024/variant_figures/roussos_2024.childhood.GLU/rs6690942_count_position.png",4,220,900)</f>
        <v/>
      </c>
      <c r="T251">
        <f>IMAGE("https://mitra.stanford.edu/kundaje/oak/projects/neuro-variants/variant_position/credible/roussos_2024/variant_figures/roussos_2024.childhood.GLU/rs6690942_profile_position.png",4,220,900)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-0.01799452486</v>
      </c>
      <c r="G252" t="n">
        <v>0.518413079315406</v>
      </c>
      <c r="H252" t="n">
        <v>0.0145893365807376</v>
      </c>
      <c r="I252" t="n">
        <v>0.2711818531860111</v>
      </c>
      <c r="J252" t="n">
        <v>0.5201118814839235</v>
      </c>
      <c r="K252" t="n">
        <v>0.0386255916634248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0.006176</v>
      </c>
      <c r="Q252" t="n">
        <v>-90</v>
      </c>
      <c r="R252" t="n">
        <v>0.11523</v>
      </c>
      <c r="S252">
        <f>IMAGE("https://mitra.stanford.edu/kundaje/oak/projects/neuro-variants/variant_position/credible/roussos_2024/variant_figures/roussos_2024.childhood.GLU/rs2280473_count_position.png",4,220,900)</f>
        <v/>
      </c>
      <c r="T252">
        <f>IMAGE("https://mitra.stanford.edu/kundaje/oak/projects/neuro-variants/variant_position/credible/roussos_2024/variant_figures/roussos_2024.childhood.GLU/rs2280473_profile_position.png",4,220,900)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0.003814185872</v>
      </c>
      <c r="G253" t="n">
        <v>0.7983678689830246</v>
      </c>
      <c r="H253" t="n">
        <v>0.0182020715080334</v>
      </c>
      <c r="I253" t="n">
        <v>0.1368548372986051</v>
      </c>
      <c r="J253" t="n">
        <v>0.0055518353302357</v>
      </c>
      <c r="K253" t="n">
        <v>0.666304563914594</v>
      </c>
      <c r="L253" t="b">
        <v>0</v>
      </c>
      <c r="M253" t="b">
        <v>0</v>
      </c>
      <c r="N253" t="inlineStr">
        <is>
          <t>alt</t>
        </is>
      </c>
      <c r="O253" t="n">
        <v>55</v>
      </c>
      <c r="P253" t="n">
        <v>0.001953</v>
      </c>
      <c r="Q253" t="n">
        <v>-40</v>
      </c>
      <c r="R253" t="n">
        <v>0.002075</v>
      </c>
      <c r="S253">
        <f>IMAGE("https://mitra.stanford.edu/kundaje/oak/projects/neuro-variants/variant_position/credible/roussos_2024/variant_figures/roussos_2024.childhood.GLU/rs11800001_count_position.png",4,220,900)</f>
        <v/>
      </c>
      <c r="T253">
        <f>IMAGE("https://mitra.stanford.edu/kundaje/oak/projects/neuro-variants/variant_position/credible/roussos_2024/variant_figures/roussos_2024.childhood.GLU/rs11800001_profile_position.png",4,220,900)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-0.0562647141999999</v>
      </c>
      <c r="G254" t="n">
        <v>0.1441048480581627</v>
      </c>
      <c r="H254" t="n">
        <v>0.0112111916799943</v>
      </c>
      <c r="I254" t="n">
        <v>0.5253618622331181</v>
      </c>
      <c r="J254" t="n">
        <v>0.0251671525853276</v>
      </c>
      <c r="K254" t="n">
        <v>0.4671379202745351</v>
      </c>
      <c r="L254" t="b">
        <v>0</v>
      </c>
      <c r="M254" t="b">
        <v>0</v>
      </c>
      <c r="N254" t="inlineStr">
        <is>
          <t>ref</t>
        </is>
      </c>
      <c r="O254" t="n">
        <v>0</v>
      </c>
      <c r="P254" t="n">
        <v>0</v>
      </c>
      <c r="Q254" t="n">
        <v>50</v>
      </c>
      <c r="R254" t="n">
        <v>0.02325</v>
      </c>
      <c r="S254">
        <f>IMAGE("https://mitra.stanford.edu/kundaje/oak/projects/neuro-variants/variant_position/credible/roussos_2024/variant_figures/roussos_2024.childhood.GLU/rs11264559_count_position.png",4,220,900)</f>
        <v/>
      </c>
      <c r="T254">
        <f>IMAGE("https://mitra.stanford.edu/kundaje/oak/projects/neuro-variants/variant_position/credible/roussos_2024/variant_figures/roussos_2024.childhood.GLU/rs11264559_profile_position.png",4,220,900)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-0.04922192506</v>
      </c>
      <c r="G255" t="n">
        <v>0.1613172163044453</v>
      </c>
      <c r="H255" t="n">
        <v>0.0134591685157907</v>
      </c>
      <c r="I255" t="n">
        <v>0.3371920385610954</v>
      </c>
      <c r="J255" t="n">
        <v>0.0346904715299741</v>
      </c>
      <c r="K255" t="n">
        <v>0.4091697982576969</v>
      </c>
      <c r="L255" t="b">
        <v>0</v>
      </c>
      <c r="M255" t="b">
        <v>0</v>
      </c>
      <c r="N255" t="inlineStr">
        <is>
          <t>ref</t>
        </is>
      </c>
      <c r="O255" t="n">
        <v>-65</v>
      </c>
      <c r="P255" t="n">
        <v>0.002426</v>
      </c>
      <c r="Q255" t="n">
        <v>25</v>
      </c>
      <c r="R255" t="n">
        <v>0.01233</v>
      </c>
      <c r="S255">
        <f>IMAGE("https://mitra.stanford.edu/kundaje/oak/projects/neuro-variants/variant_position/credible/roussos_2024/variant_figures/roussos_2024.childhood.GLU/rs6671132_count_position.png",4,220,900)</f>
        <v/>
      </c>
      <c r="T255">
        <f>IMAGE("https://mitra.stanford.edu/kundaje/oak/projects/neuro-variants/variant_position/credible/roussos_2024/variant_figures/roussos_2024.childhood.GLU/rs6671132_profile_position.png",4,220,900)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0.0064777288399999</v>
      </c>
      <c r="G256" t="n">
        <v>0.7357580536696953</v>
      </c>
      <c r="H256" t="n">
        <v>0.0107707445922567</v>
      </c>
      <c r="I256" t="n">
        <v>0.5808411693729362</v>
      </c>
      <c r="J256" t="n">
        <v>0.0122832682580073</v>
      </c>
      <c r="K256" t="n">
        <v>0.5616597311927174</v>
      </c>
      <c r="L256" t="b">
        <v>0</v>
      </c>
      <c r="M256" t="b">
        <v>0</v>
      </c>
      <c r="N256" t="inlineStr">
        <is>
          <t>alt</t>
        </is>
      </c>
      <c r="O256" t="n">
        <v>-45</v>
      </c>
      <c r="P256" t="n">
        <v>0.0007324</v>
      </c>
      <c r="Q256" t="n">
        <v>-90</v>
      </c>
      <c r="R256" t="n">
        <v>0.04123</v>
      </c>
      <c r="S256">
        <f>IMAGE("https://mitra.stanford.edu/kundaje/oak/projects/neuro-variants/variant_position/credible/roussos_2024/variant_figures/roussos_2024.childhood.GLU/rs10908525_count_position.png",4,220,900)</f>
        <v/>
      </c>
      <c r="T256">
        <f>IMAGE("https://mitra.stanford.edu/kundaje/oak/projects/neuro-variants/variant_position/credible/roussos_2024/variant_figures/roussos_2024.childhood.GLU/rs10908525_profile_position.png",4,220,900)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0.102816304</v>
      </c>
      <c r="G257" t="n">
        <v>0.0443214295253028</v>
      </c>
      <c r="H257" t="n">
        <v>0.0165014898839547</v>
      </c>
      <c r="I257" t="n">
        <v>0.1924949205779576</v>
      </c>
      <c r="J257" t="n">
        <v>0.7269535475496307</v>
      </c>
      <c r="K257" t="n">
        <v>0.0124134877257091</v>
      </c>
      <c r="L257" t="b">
        <v>0</v>
      </c>
      <c r="M257" t="b">
        <v>0</v>
      </c>
      <c r="N257" t="inlineStr">
        <is>
          <t>alt</t>
        </is>
      </c>
      <c r="O257" t="n">
        <v>5</v>
      </c>
      <c r="P257" t="n">
        <v>0.0003433</v>
      </c>
      <c r="Q257" t="n">
        <v>-45</v>
      </c>
      <c r="R257" t="n">
        <v>0.07947</v>
      </c>
      <c r="S257">
        <f>IMAGE("https://mitra.stanford.edu/kundaje/oak/projects/neuro-variants/variant_position/credible/roussos_2024/variant_figures/roussos_2024.childhood.GLU/rs4845357_count_position.png",4,220,900)</f>
        <v/>
      </c>
      <c r="T257">
        <f>IMAGE("https://mitra.stanford.edu/kundaje/oak/projects/neuro-variants/variant_position/credible/roussos_2024/variant_figures/roussos_2024.childhood.GLU/rs4845357_profile_position.png",4,220,900)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0.0316158408</v>
      </c>
      <c r="G258" t="n">
        <v>0.3147969491812472</v>
      </c>
      <c r="H258" t="n">
        <v>0.0264410822757588</v>
      </c>
      <c r="I258" t="n">
        <v>0.0373214045083396</v>
      </c>
      <c r="J258" t="n">
        <v>0.0267876827346059</v>
      </c>
      <c r="K258" t="n">
        <v>0.4462032308498262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0.0199</v>
      </c>
      <c r="Q258" t="n">
        <v>-85</v>
      </c>
      <c r="R258" t="n">
        <v>0.03812</v>
      </c>
      <c r="S258">
        <f>IMAGE("https://mitra.stanford.edu/kundaje/oak/projects/neuro-variants/variant_position/credible/roussos_2024/variant_figures/roussos_2024.childhood.GLU/rs10796968_count_position.png",4,220,900)</f>
        <v/>
      </c>
      <c r="T258">
        <f>IMAGE("https://mitra.stanford.edu/kundaje/oak/projects/neuro-variants/variant_position/credible/roussos_2024/variant_figures/roussos_2024.childhood.GLU/rs10796968_profile_position.png",4,220,900)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-0.1163301914</v>
      </c>
      <c r="G259" t="n">
        <v>0.0527734825347732</v>
      </c>
      <c r="H259" t="n">
        <v>0.0298066856553426</v>
      </c>
      <c r="I259" t="n">
        <v>0.0291999310269649</v>
      </c>
      <c r="J259" t="n">
        <v>0.2054189374349675</v>
      </c>
      <c r="K259" t="n">
        <v>0.1472118468569117</v>
      </c>
      <c r="L259" t="b">
        <v>0</v>
      </c>
      <c r="M259" t="b">
        <v>0</v>
      </c>
      <c r="N259" t="inlineStr">
        <is>
          <t>ref</t>
        </is>
      </c>
      <c r="O259" t="n">
        <v>-5</v>
      </c>
      <c r="P259" t="n">
        <v>0.0005493</v>
      </c>
      <c r="Q259" t="n">
        <v>100</v>
      </c>
      <c r="R259" t="n">
        <v>0.0542</v>
      </c>
      <c r="S259">
        <f>IMAGE("https://mitra.stanford.edu/kundaje/oak/projects/neuro-variants/variant_position/credible/roussos_2024/variant_figures/roussos_2024.childhood.GLU/rs3748848_count_position.png",4,220,900)</f>
        <v/>
      </c>
      <c r="T259">
        <f>IMAGE("https://mitra.stanford.edu/kundaje/oak/projects/neuro-variants/variant_position/credible/roussos_2024/variant_figures/roussos_2024.childhood.GLU/rs3748848_profile_position.png",4,220,900)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0.0591913778</v>
      </c>
      <c r="G260" t="n">
        <v>0.1271872225139992</v>
      </c>
      <c r="H260" t="n">
        <v>0.0162983980232935</v>
      </c>
      <c r="I260" t="n">
        <v>0.1951477307710229</v>
      </c>
      <c r="J260" t="n">
        <v>0.1155572954763204</v>
      </c>
      <c r="K260" t="n">
        <v>0.2316244685852918</v>
      </c>
      <c r="L260" t="b">
        <v>0</v>
      </c>
      <c r="M260" t="b">
        <v>0</v>
      </c>
      <c r="N260" t="inlineStr">
        <is>
          <t>alt</t>
        </is>
      </c>
      <c r="O260" t="n">
        <v>-100</v>
      </c>
      <c r="P260" t="n">
        <v>0.0215</v>
      </c>
      <c r="Q260" t="n">
        <v>20</v>
      </c>
      <c r="R260" t="n">
        <v>0.0337</v>
      </c>
      <c r="S260">
        <f>IMAGE("https://mitra.stanford.edu/kundaje/oak/projects/neuro-variants/variant_position/credible/roussos_2024/variant_figures/roussos_2024.childhood.GLU/rs11586593_count_position.png",4,220,900)</f>
        <v/>
      </c>
      <c r="T260">
        <f>IMAGE("https://mitra.stanford.edu/kundaje/oak/projects/neuro-variants/variant_position/credible/roussos_2024/variant_figures/roussos_2024.childhood.GLU/rs11586593_profile_position.png",4,220,900)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0.137256852</v>
      </c>
      <c r="G261" t="n">
        <v>0.0242607778061649</v>
      </c>
      <c r="H261" t="n">
        <v>0.028659660043547</v>
      </c>
      <c r="I261" t="n">
        <v>0.0329171270067808</v>
      </c>
      <c r="J261" t="n">
        <v>0.4482532683610289</v>
      </c>
      <c r="K261" t="n">
        <v>0.0531323331436489</v>
      </c>
      <c r="L261" t="b">
        <v>0</v>
      </c>
      <c r="M261" t="b">
        <v>0</v>
      </c>
      <c r="N261" t="inlineStr">
        <is>
          <t>alt</t>
        </is>
      </c>
      <c r="O261" t="n">
        <v>80</v>
      </c>
      <c r="P261" t="n">
        <v>0.000702</v>
      </c>
      <c r="Q261" t="n">
        <v>-90</v>
      </c>
      <c r="R261" t="n">
        <v>0.074</v>
      </c>
      <c r="S261">
        <f>IMAGE("https://mitra.stanford.edu/kundaje/oak/projects/neuro-variants/variant_position/credible/roussos_2024/variant_figures/roussos_2024.childhood.GLU/rs946682_count_position.png",4,220,900)</f>
        <v/>
      </c>
      <c r="T261">
        <f>IMAGE("https://mitra.stanford.edu/kundaje/oak/projects/neuro-variants/variant_position/credible/roussos_2024/variant_figures/roussos_2024.childhood.GLU/rs946682_profile_position.png",4,220,900)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-0.077678468</v>
      </c>
      <c r="G262" t="n">
        <v>0.0840709100576075</v>
      </c>
      <c r="H262" t="n">
        <v>0.024795369591954</v>
      </c>
      <c r="I262" t="n">
        <v>0.0491038825469946</v>
      </c>
      <c r="J262" t="n">
        <v>0.023511595083808</v>
      </c>
      <c r="K262" t="n">
        <v>0.4653742680603033</v>
      </c>
      <c r="L262" t="b">
        <v>0</v>
      </c>
      <c r="M262" t="b">
        <v>0</v>
      </c>
      <c r="N262" t="inlineStr">
        <is>
          <t>ref</t>
        </is>
      </c>
      <c r="O262" t="n">
        <v>25</v>
      </c>
      <c r="P262" t="n">
        <v>0.004272</v>
      </c>
      <c r="Q262" t="n">
        <v>35</v>
      </c>
      <c r="R262" t="n">
        <v>0.0781</v>
      </c>
      <c r="S262">
        <f>IMAGE("https://mitra.stanford.edu/kundaje/oak/projects/neuro-variants/variant_position/credible/roussos_2024/variant_figures/roussos_2024.childhood.GLU/rs10737494_count_position.png",4,220,900)</f>
        <v/>
      </c>
      <c r="T262">
        <f>IMAGE("https://mitra.stanford.edu/kundaje/oak/projects/neuro-variants/variant_position/credible/roussos_2024/variant_figures/roussos_2024.childhood.GLU/rs10737494_profile_position.png",4,220,900)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-0.0582505534</v>
      </c>
      <c r="G263" t="n">
        <v>0.1400367394646254</v>
      </c>
      <c r="H263" t="n">
        <v>0.0271830228666154</v>
      </c>
      <c r="I263" t="n">
        <v>0.0315924453044282</v>
      </c>
      <c r="J263" t="n">
        <v>0.0012311084096551</v>
      </c>
      <c r="K263" t="n">
        <v>0.8078659337092453</v>
      </c>
      <c r="L263" t="b">
        <v>0</v>
      </c>
      <c r="M263" t="b">
        <v>0</v>
      </c>
      <c r="N263" t="inlineStr">
        <is>
          <t>ref</t>
        </is>
      </c>
      <c r="O263" t="n">
        <v>-100</v>
      </c>
      <c r="P263" t="n">
        <v>0.006348</v>
      </c>
      <c r="Q263" t="n">
        <v>-100</v>
      </c>
      <c r="R263" t="n">
        <v>0.1162</v>
      </c>
      <c r="S263">
        <f>IMAGE("https://mitra.stanford.edu/kundaje/oak/projects/neuro-variants/variant_position/credible/roussos_2024/variant_figures/roussos_2024.childhood.GLU/rs3963479_count_position.png",4,220,900)</f>
        <v/>
      </c>
      <c r="T263">
        <f>IMAGE("https://mitra.stanford.edu/kundaje/oak/projects/neuro-variants/variant_position/credible/roussos_2024/variant_figures/roussos_2024.childhood.GLU/rs3963479_profile_position.png",4,220,900)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0.147099865</v>
      </c>
      <c r="G264" t="n">
        <v>0.0188555619854786</v>
      </c>
      <c r="H264" t="n">
        <v>0.0322981827481733</v>
      </c>
      <c r="I264" t="n">
        <v>0.0162477464155315</v>
      </c>
      <c r="J264" t="n">
        <v>0.086540224793184</v>
      </c>
      <c r="K264" t="n">
        <v>0.2670971818293506</v>
      </c>
      <c r="L264" t="b">
        <v>1</v>
      </c>
      <c r="M264" t="b">
        <v>0</v>
      </c>
      <c r="N264" t="inlineStr">
        <is>
          <t>alt</t>
        </is>
      </c>
      <c r="O264" t="n">
        <v>-90</v>
      </c>
      <c r="P264" t="n">
        <v>0.00518</v>
      </c>
      <c r="Q264" t="n">
        <v>45</v>
      </c>
      <c r="R264" t="n">
        <v>0.03088</v>
      </c>
      <c r="S264">
        <f>IMAGE("https://mitra.stanford.edu/kundaje/oak/projects/neuro-variants/variant_position/credible/roussos_2024/variant_figures/roussos_2024.childhood.GLU/rs1932355_count_position.png",4,220,900)</f>
        <v/>
      </c>
      <c r="T264">
        <f>IMAGE("https://mitra.stanford.edu/kundaje/oak/projects/neuro-variants/variant_position/credible/roussos_2024/variant_figures/roussos_2024.childhood.GLU/rs1932355_profile_position.png",4,220,900)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0.00929826836</v>
      </c>
      <c r="G265" t="n">
        <v>0.6577535260264965</v>
      </c>
      <c r="H265" t="n">
        <v>0.0235145975264426</v>
      </c>
      <c r="I265" t="n">
        <v>0.0544943586988926</v>
      </c>
      <c r="J265" t="n">
        <v>0.0001916202210843</v>
      </c>
      <c r="K265" t="n">
        <v>0.9284712049693108</v>
      </c>
      <c r="L265" t="b">
        <v>0</v>
      </c>
      <c r="M265" t="b">
        <v>0</v>
      </c>
      <c r="N265" t="inlineStr">
        <is>
          <t>alt</t>
        </is>
      </c>
      <c r="O265" t="n">
        <v>85</v>
      </c>
      <c r="P265" t="n">
        <v>0.00559</v>
      </c>
      <c r="Q265" t="n">
        <v>-50</v>
      </c>
      <c r="R265" t="n">
        <v>0.02826</v>
      </c>
      <c r="S265">
        <f>IMAGE("https://mitra.stanford.edu/kundaje/oak/projects/neuro-variants/variant_position/credible/roussos_2024/variant_figures/roussos_2024.childhood.GLU/rs6683086_count_position.png",4,220,900)</f>
        <v/>
      </c>
      <c r="T265">
        <f>IMAGE("https://mitra.stanford.edu/kundaje/oak/projects/neuro-variants/variant_position/credible/roussos_2024/variant_figures/roussos_2024.childhood.GLU/rs6683086_profile_position.png",4,220,900)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-0.0006572422999999</v>
      </c>
      <c r="G266" t="n">
        <v>0.7063725813916202</v>
      </c>
      <c r="H266" t="n">
        <v>0.0268563349052912</v>
      </c>
      <c r="I266" t="n">
        <v>0.0335354772932812</v>
      </c>
      <c r="J266" t="n">
        <v>0.0118021572728115</v>
      </c>
      <c r="K266" t="n">
        <v>0.5893544300673144</v>
      </c>
      <c r="L266" t="b">
        <v>0</v>
      </c>
      <c r="M266" t="b">
        <v>0</v>
      </c>
      <c r="N266" t="inlineStr">
        <is>
          <t>ref</t>
        </is>
      </c>
      <c r="O266" t="n">
        <v>85</v>
      </c>
      <c r="P266" t="n">
        <v>0.01105</v>
      </c>
      <c r="Q266" t="n">
        <v>85</v>
      </c>
      <c r="R266" t="n">
        <v>0.1312</v>
      </c>
      <c r="S266">
        <f>IMAGE("https://mitra.stanford.edu/kundaje/oak/projects/neuro-variants/variant_position/credible/roussos_2024/variant_figures/roussos_2024.childhood.GLU/rs1934230_count_position.png",4,220,900)</f>
        <v/>
      </c>
      <c r="T266">
        <f>IMAGE("https://mitra.stanford.edu/kundaje/oak/projects/neuro-variants/variant_position/credible/roussos_2024/variant_figures/roussos_2024.childhood.GLU/rs1934230_profile_position.png",4,220,900)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0.071471959</v>
      </c>
      <c r="G267" t="n">
        <v>0.1057101196212316</v>
      </c>
      <c r="H267" t="n">
        <v>0.010880669671038</v>
      </c>
      <c r="I267" t="n">
        <v>0.5615752542788237</v>
      </c>
      <c r="J267" t="n">
        <v>0.0410087877445475</v>
      </c>
      <c r="K267" t="n">
        <v>0.3841917715168279</v>
      </c>
      <c r="L267" t="b">
        <v>0</v>
      </c>
      <c r="M267" t="b">
        <v>0</v>
      </c>
      <c r="N267" t="inlineStr">
        <is>
          <t>alt</t>
        </is>
      </c>
      <c r="O267" t="n">
        <v>50</v>
      </c>
      <c r="P267" t="n">
        <v>0.002914</v>
      </c>
      <c r="Q267" t="n">
        <v>50</v>
      </c>
      <c r="R267" t="n">
        <v>0.04138</v>
      </c>
      <c r="S267">
        <f>IMAGE("https://mitra.stanford.edu/kundaje/oak/projects/neuro-variants/variant_position/credible/roussos_2024/variant_figures/roussos_2024.childhood.GLU/rs10799961_count_position.png",4,220,900)</f>
        <v/>
      </c>
      <c r="T267">
        <f>IMAGE("https://mitra.stanford.edu/kundaje/oak/projects/neuro-variants/variant_position/credible/roussos_2024/variant_figures/roussos_2024.childhood.GLU/rs10799961_profile_position.png",4,220,900)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-0.0164533288</v>
      </c>
      <c r="G268" t="n">
        <v>0.527358834581664</v>
      </c>
      <c r="H268" t="n">
        <v>0.0269157687633229</v>
      </c>
      <c r="I268" t="n">
        <v>0.0323802952380514</v>
      </c>
      <c r="J268" t="n">
        <v>0.0028495781264486</v>
      </c>
      <c r="K268" t="n">
        <v>0.7354859923368231</v>
      </c>
      <c r="L268" t="b">
        <v>0</v>
      </c>
      <c r="M268" t="b">
        <v>0</v>
      </c>
      <c r="N268" t="inlineStr">
        <is>
          <t>ref</t>
        </is>
      </c>
      <c r="O268" t="n">
        <v>-100</v>
      </c>
      <c r="P268" t="n">
        <v>0.003593</v>
      </c>
      <c r="Q268" t="n">
        <v>-100</v>
      </c>
      <c r="R268" t="n">
        <v>0.04236</v>
      </c>
      <c r="S268">
        <f>IMAGE("https://mitra.stanford.edu/kundaje/oak/projects/neuro-variants/variant_position/credible/roussos_2024/variant_figures/roussos_2024.childhood.GLU/rs3856207_count_position.png",4,220,900)</f>
        <v/>
      </c>
      <c r="T268">
        <f>IMAGE("https://mitra.stanford.edu/kundaje/oak/projects/neuro-variants/variant_position/credible/roussos_2024/variant_figures/roussos_2024.childhood.GLU/rs3856207_profile_position.png",4,220,900)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0.00082566502</v>
      </c>
      <c r="G269" t="n">
        <v>0.8657219740230355</v>
      </c>
      <c r="H269" t="n">
        <v>0.0173831852597878</v>
      </c>
      <c r="I269" t="n">
        <v>0.1568138828659868</v>
      </c>
      <c r="J269" t="n">
        <v>0.0008282938588809</v>
      </c>
      <c r="K269" t="n">
        <v>0.8378918624899018</v>
      </c>
      <c r="L269" t="b">
        <v>0</v>
      </c>
      <c r="M269" t="b">
        <v>0</v>
      </c>
      <c r="N269" t="inlineStr">
        <is>
          <t>alt</t>
        </is>
      </c>
      <c r="O269" t="n">
        <v>-100</v>
      </c>
      <c r="P269" t="n">
        <v>0.08400000000000001</v>
      </c>
      <c r="Q269" t="n">
        <v>90</v>
      </c>
      <c r="R269" t="n">
        <v>0.1177</v>
      </c>
      <c r="S269">
        <f>IMAGE("https://mitra.stanford.edu/kundaje/oak/projects/neuro-variants/variant_position/credible/roussos_2024/variant_figures/roussos_2024.childhood.GLU/rs969029_count_position.png",4,220,900)</f>
        <v/>
      </c>
      <c r="T269">
        <f>IMAGE("https://mitra.stanford.edu/kundaje/oak/projects/neuro-variants/variant_position/credible/roussos_2024/variant_figures/roussos_2024.childhood.GLU/rs969029_profile_position.png",4,220,900)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-8.13619399999993e-05</v>
      </c>
      <c r="G270" t="n">
        <v>0.5467830457033906</v>
      </c>
      <c r="H270" t="n">
        <v>0.0228871731034168</v>
      </c>
      <c r="I270" t="n">
        <v>0.0627298868401111</v>
      </c>
      <c r="J270" t="n">
        <v>0.0531158890251063</v>
      </c>
      <c r="K270" t="n">
        <v>0.3483808844600037</v>
      </c>
      <c r="L270" t="b">
        <v>0</v>
      </c>
      <c r="M270" t="b">
        <v>0</v>
      </c>
      <c r="N270" t="inlineStr">
        <is>
          <t>ref</t>
        </is>
      </c>
      <c r="O270" t="n">
        <v>60</v>
      </c>
      <c r="P270" t="n">
        <v>0.004395</v>
      </c>
      <c r="Q270" t="n">
        <v>75</v>
      </c>
      <c r="R270" t="n">
        <v>0.05518</v>
      </c>
      <c r="S270">
        <f>IMAGE("https://mitra.stanford.edu/kundaje/oak/projects/neuro-variants/variant_position/credible/roussos_2024/variant_figures/roussos_2024.childhood.GLU/rs61826814_count_position.png",4,220,900)</f>
        <v/>
      </c>
      <c r="T270">
        <f>IMAGE("https://mitra.stanford.edu/kundaje/oak/projects/neuro-variants/variant_position/credible/roussos_2024/variant_figures/roussos_2024.childhood.GLU/rs61826814_profile_position.png",4,220,900)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0.00307698178</v>
      </c>
      <c r="G271" t="n">
        <v>0.7731328841063375</v>
      </c>
      <c r="H271" t="n">
        <v>0.0100319845522906</v>
      </c>
      <c r="I271" t="n">
        <v>0.6442988991387677</v>
      </c>
      <c r="J271" t="n">
        <v>0.0119628710066242</v>
      </c>
      <c r="K271" t="n">
        <v>0.5705675808365174</v>
      </c>
      <c r="L271" t="b">
        <v>0</v>
      </c>
      <c r="M271" t="b">
        <v>0</v>
      </c>
      <c r="N271" t="inlineStr">
        <is>
          <t>alt</t>
        </is>
      </c>
      <c r="O271" t="n">
        <v>-45</v>
      </c>
      <c r="P271" t="n">
        <v>0.0047</v>
      </c>
      <c r="Q271" t="n">
        <v>100</v>
      </c>
      <c r="R271" t="n">
        <v>0.0689</v>
      </c>
      <c r="S271">
        <f>IMAGE("https://mitra.stanford.edu/kundaje/oak/projects/neuro-variants/variant_position/credible/roussos_2024/variant_figures/roussos_2024.childhood.GLU/rs61827870_count_position.png",4,220,900)</f>
        <v/>
      </c>
      <c r="T271">
        <f>IMAGE("https://mitra.stanford.edu/kundaje/oak/projects/neuro-variants/variant_position/credible/roussos_2024/variant_figures/roussos_2024.childhood.GLU/rs61827870_profile_position.png",4,220,900)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-0.0984580268</v>
      </c>
      <c r="G272" t="n">
        <v>0.0515021773950737</v>
      </c>
      <c r="H272" t="n">
        <v>0.0166282564081979</v>
      </c>
      <c r="I272" t="n">
        <v>0.1817694951034006</v>
      </c>
      <c r="J272" t="n">
        <v>0.0174003523339548</v>
      </c>
      <c r="K272" t="n">
        <v>0.5138184794654722</v>
      </c>
      <c r="L272" t="b">
        <v>0</v>
      </c>
      <c r="M272" t="b">
        <v>0</v>
      </c>
      <c r="N272" t="inlineStr">
        <is>
          <t>ref</t>
        </is>
      </c>
      <c r="O272" t="n">
        <v>100</v>
      </c>
      <c r="P272" t="n">
        <v>0.064</v>
      </c>
      <c r="Q272" t="n">
        <v>-100</v>
      </c>
      <c r="R272" t="n">
        <v>0.0693</v>
      </c>
      <c r="S272">
        <f>IMAGE("https://mitra.stanford.edu/kundaje/oak/projects/neuro-variants/variant_position/credible/roussos_2024/variant_figures/roussos_2024.childhood.GLU/rs28804123_count_position.png",4,220,900)</f>
        <v/>
      </c>
      <c r="T272">
        <f>IMAGE("https://mitra.stanford.edu/kundaje/oak/projects/neuro-variants/variant_position/credible/roussos_2024/variant_figures/roussos_2024.childhood.GLU/rs28804123_profile_position.png",4,220,900)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0.0189612452799999</v>
      </c>
      <c r="G273" t="n">
        <v>0.4789336295504224</v>
      </c>
      <c r="H273" t="n">
        <v>0.0266854729769748</v>
      </c>
      <c r="I273" t="n">
        <v>0.0347874194384942</v>
      </c>
      <c r="J273" t="n">
        <v>0.0264878898080706</v>
      </c>
      <c r="K273" t="n">
        <v>0.4584781603716709</v>
      </c>
      <c r="L273" t="b">
        <v>0</v>
      </c>
      <c r="M273" t="b">
        <v>0</v>
      </c>
      <c r="N273" t="inlineStr">
        <is>
          <t>alt</t>
        </is>
      </c>
      <c r="O273" t="n">
        <v>55</v>
      </c>
      <c r="P273" t="n">
        <v>0.02594</v>
      </c>
      <c r="Q273" t="n">
        <v>30</v>
      </c>
      <c r="R273" t="n">
        <v>0.0441</v>
      </c>
      <c r="S273">
        <f>IMAGE("https://mitra.stanford.edu/kundaje/oak/projects/neuro-variants/variant_position/credible/roussos_2024/variant_figures/roussos_2024.childhood.GLU/rs9425757_count_position.png",4,220,900)</f>
        <v/>
      </c>
      <c r="T273">
        <f>IMAGE("https://mitra.stanford.edu/kundaje/oak/projects/neuro-variants/variant_position/credible/roussos_2024/variant_figures/roussos_2024.childhood.GLU/rs9425757_profile_position.png",4,220,900)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0.155186164</v>
      </c>
      <c r="G274" t="n">
        <v>0.0149862911109273</v>
      </c>
      <c r="H274" t="n">
        <v>0.0195159880802391</v>
      </c>
      <c r="I274" t="n">
        <v>0.109010504003639</v>
      </c>
      <c r="J274" t="n">
        <v>0.009415146239195499</v>
      </c>
      <c r="K274" t="n">
        <v>0.5970712393934774</v>
      </c>
      <c r="L274" t="b">
        <v>1</v>
      </c>
      <c r="M274" t="b">
        <v>0</v>
      </c>
      <c r="N274" t="inlineStr">
        <is>
          <t>alt</t>
        </is>
      </c>
      <c r="O274" t="n">
        <v>100</v>
      </c>
      <c r="P274" t="n">
        <v>0.0742</v>
      </c>
      <c r="Q274" t="n">
        <v>65</v>
      </c>
      <c r="R274" t="n">
        <v>0.10925</v>
      </c>
      <c r="S274">
        <f>IMAGE("https://mitra.stanford.edu/kundaje/oak/projects/neuro-variants/variant_position/credible/roussos_2024/variant_figures/roussos_2024.childhood.GLU/rs9425765_count_position.png",4,220,900)</f>
        <v/>
      </c>
      <c r="T274">
        <f>IMAGE("https://mitra.stanford.edu/kundaje/oak/projects/neuro-variants/variant_position/credible/roussos_2024/variant_figures/roussos_2024.childhood.GLU/rs9425765_profile_position.png",4,220,900)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-0.004394901806</v>
      </c>
      <c r="G275" t="n">
        <v>0.8133568497383485</v>
      </c>
      <c r="H275" t="n">
        <v>0.0144339986348889</v>
      </c>
      <c r="I275" t="n">
        <v>0.2811492966824248</v>
      </c>
      <c r="J275" t="n">
        <v>0.0016102279868543</v>
      </c>
      <c r="K275" t="n">
        <v>0.8008956084658452</v>
      </c>
      <c r="L275" t="b">
        <v>0</v>
      </c>
      <c r="M275" t="b">
        <v>0</v>
      </c>
      <c r="N275" t="inlineStr">
        <is>
          <t>ref</t>
        </is>
      </c>
      <c r="O275" t="n">
        <v>-70</v>
      </c>
      <c r="P275" t="n">
        <v>0.002197</v>
      </c>
      <c r="Q275" t="n">
        <v>100</v>
      </c>
      <c r="R275" t="n">
        <v>0.01349</v>
      </c>
      <c r="S275">
        <f>IMAGE("https://mitra.stanford.edu/kundaje/oak/projects/neuro-variants/variant_position/credible/roussos_2024/variant_figures/roussos_2024.childhood.GLU/rs60265316_count_position.png",4,220,900)</f>
        <v/>
      </c>
      <c r="T275">
        <f>IMAGE("https://mitra.stanford.edu/kundaje/oak/projects/neuro-variants/variant_position/credible/roussos_2024/variant_figures/roussos_2024.childhood.GLU/rs60265316_profile_position.png",4,220,900)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0.0064298784432</v>
      </c>
      <c r="G276" t="n">
        <v>0.7332703925619188</v>
      </c>
      <c r="H276" t="n">
        <v>0.0107907822709917</v>
      </c>
      <c r="I276" t="n">
        <v>0.5778365172984826</v>
      </c>
      <c r="J276" t="n">
        <v>0.1701979045401629</v>
      </c>
      <c r="K276" t="n">
        <v>0.1742239688066796</v>
      </c>
      <c r="L276" t="b">
        <v>0</v>
      </c>
      <c r="M276" t="b">
        <v>0</v>
      </c>
      <c r="N276" t="inlineStr">
        <is>
          <t>alt</t>
        </is>
      </c>
      <c r="O276" t="n">
        <v>65</v>
      </c>
      <c r="P276" t="n">
        <v>0.004215</v>
      </c>
      <c r="Q276" t="n">
        <v>-100</v>
      </c>
      <c r="R276" t="n">
        <v>0.07779999999999999</v>
      </c>
      <c r="S276">
        <f>IMAGE("https://mitra.stanford.edu/kundaje/oak/projects/neuro-variants/variant_position/credible/roussos_2024/variant_figures/roussos_2024.childhood.GLU/rs1322775_count_position.png",4,220,900)</f>
        <v/>
      </c>
      <c r="T276">
        <f>IMAGE("https://mitra.stanford.edu/kundaje/oak/projects/neuro-variants/variant_position/credible/roussos_2024/variant_figures/roussos_2024.childhood.GLU/rs1322775_profile_position.png",4,220,900)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-0.01174588104</v>
      </c>
      <c r="G277" t="n">
        <v>0.6187983545934429</v>
      </c>
      <c r="H277" t="n">
        <v>0.0289515101858911</v>
      </c>
      <c r="I277" t="n">
        <v>0.024699416914393</v>
      </c>
      <c r="J277" t="n">
        <v>0.0496234559634066</v>
      </c>
      <c r="K277" t="n">
        <v>0.3674461614562412</v>
      </c>
      <c r="L277" t="b">
        <v>0</v>
      </c>
      <c r="M277" t="b">
        <v>0</v>
      </c>
      <c r="N277" t="inlineStr">
        <is>
          <t>ref</t>
        </is>
      </c>
      <c r="O277" t="n">
        <v>10</v>
      </c>
      <c r="P277" t="n">
        <v>0.001404</v>
      </c>
      <c r="Q277" t="n">
        <v>5</v>
      </c>
      <c r="R277" t="n">
        <v>0.002686</v>
      </c>
      <c r="S277">
        <f>IMAGE("https://mitra.stanford.edu/kundaje/oak/projects/neuro-variants/variant_position/credible/roussos_2024/variant_figures/roussos_2024.childhood.GLU/rs7349095_count_position.png",4,220,900)</f>
        <v/>
      </c>
      <c r="T277">
        <f>IMAGE("https://mitra.stanford.edu/kundaje/oak/projects/neuro-variants/variant_position/credible/roussos_2024/variant_figures/roussos_2024.childhood.GLU/rs7349095_profile_position.png",4,220,900)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0.012239323674</v>
      </c>
      <c r="G278" t="n">
        <v>0.606709523327104</v>
      </c>
      <c r="H278" t="n">
        <v>0.019844064959234</v>
      </c>
      <c r="I278" t="n">
        <v>0.0995384208742968</v>
      </c>
      <c r="J278" t="n">
        <v>0.0013248580877125</v>
      </c>
      <c r="K278" t="n">
        <v>0.802801864043628</v>
      </c>
      <c r="L278" t="b">
        <v>0</v>
      </c>
      <c r="M278" t="b">
        <v>0</v>
      </c>
      <c r="N278" t="inlineStr">
        <is>
          <t>alt</t>
        </is>
      </c>
      <c r="O278" t="n">
        <v>-35</v>
      </c>
      <c r="P278" t="n">
        <v>0.003094</v>
      </c>
      <c r="Q278" t="n">
        <v>-50</v>
      </c>
      <c r="R278" t="n">
        <v>0.01239</v>
      </c>
      <c r="S278">
        <f>IMAGE("https://mitra.stanford.edu/kundaje/oak/projects/neuro-variants/variant_position/credible/roussos_2024/variant_figures/roussos_2024.childhood.GLU/rs1322779_count_position.png",4,220,900)</f>
        <v/>
      </c>
      <c r="T278">
        <f>IMAGE("https://mitra.stanford.edu/kundaje/oak/projects/neuro-variants/variant_position/credible/roussos_2024/variant_figures/roussos_2024.childhood.GLU/rs1322779_profile_position.png",4,220,900)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0.0217598462</v>
      </c>
      <c r="G279" t="n">
        <v>0.4226237835898269</v>
      </c>
      <c r="H279" t="n">
        <v>0.0149860885250304</v>
      </c>
      <c r="I279" t="n">
        <v>0.2553807812058737</v>
      </c>
      <c r="J279" t="n">
        <v>0.003205002730073</v>
      </c>
      <c r="K279" t="n">
        <v>0.726323992359037</v>
      </c>
      <c r="L279" t="b">
        <v>0</v>
      </c>
      <c r="M279" t="b">
        <v>0</v>
      </c>
      <c r="N279" t="inlineStr">
        <is>
          <t>alt</t>
        </is>
      </c>
      <c r="O279" t="n">
        <v>-70</v>
      </c>
      <c r="P279" t="n">
        <v>0.002674</v>
      </c>
      <c r="Q279" t="n">
        <v>95</v>
      </c>
      <c r="R279" t="n">
        <v>0.05115</v>
      </c>
      <c r="S279">
        <f>IMAGE("https://mitra.stanford.edu/kundaje/oak/projects/neuro-variants/variant_position/credible/roussos_2024/variant_figures/roussos_2024.childhood.GLU/rs9425434_count_position.png",4,220,900)</f>
        <v/>
      </c>
      <c r="T279">
        <f>IMAGE("https://mitra.stanford.edu/kundaje/oak/projects/neuro-variants/variant_position/credible/roussos_2024/variant_figures/roussos_2024.childhood.GLU/rs9425434_profile_position.png",4,220,900)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0.0237625019999999</v>
      </c>
      <c r="G280" t="n">
        <v>0.3938929595879266</v>
      </c>
      <c r="H280" t="n">
        <v>0.0224949455007715</v>
      </c>
      <c r="I280" t="n">
        <v>0.06371092937295721</v>
      </c>
      <c r="J280" t="n">
        <v>0.0249312330658204</v>
      </c>
      <c r="K280" t="n">
        <v>0.4539225950660422</v>
      </c>
      <c r="L280" t="b">
        <v>0</v>
      </c>
      <c r="M280" t="b">
        <v>0</v>
      </c>
      <c r="N280" t="inlineStr">
        <is>
          <t>alt</t>
        </is>
      </c>
      <c r="O280" t="n">
        <v>-50</v>
      </c>
      <c r="P280" t="n">
        <v>0.01412</v>
      </c>
      <c r="Q280" t="n">
        <v>-55</v>
      </c>
      <c r="R280" t="n">
        <v>0.1632</v>
      </c>
      <c r="S280">
        <f>IMAGE("https://mitra.stanford.edu/kundaje/oak/projects/neuro-variants/variant_position/credible/roussos_2024/variant_figures/roussos_2024.childhood.GLU/rs73039035_count_position.png",4,220,900)</f>
        <v/>
      </c>
      <c r="T280">
        <f>IMAGE("https://mitra.stanford.edu/kundaje/oak/projects/neuro-variants/variant_position/credible/roussos_2024/variant_figures/roussos_2024.childhood.GLU/rs73039035_profile_position.png",4,220,900)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0.02009528502</v>
      </c>
      <c r="G281" t="n">
        <v>0.352529325667243</v>
      </c>
      <c r="H281" t="n">
        <v>0.0255014103023936</v>
      </c>
      <c r="I281" t="n">
        <v>0.0400296599774377</v>
      </c>
      <c r="J281" t="n">
        <v>0.0586440293817671</v>
      </c>
      <c r="K281" t="n">
        <v>0.3310997435755149</v>
      </c>
      <c r="L281" t="b">
        <v>0</v>
      </c>
      <c r="M281" t="b">
        <v>0</v>
      </c>
      <c r="N281" t="inlineStr">
        <is>
          <t>alt</t>
        </is>
      </c>
      <c r="O281" t="n">
        <v>30</v>
      </c>
      <c r="P281" t="n">
        <v>0.001648</v>
      </c>
      <c r="Q281" t="n">
        <v>-20</v>
      </c>
      <c r="R281" t="n">
        <v>0.01221</v>
      </c>
      <c r="S281">
        <f>IMAGE("https://mitra.stanford.edu/kundaje/oak/projects/neuro-variants/variant_position/credible/roussos_2024/variant_figures/roussos_2024.childhood.GLU/rs941989_count_position.png",4,220,900)</f>
        <v/>
      </c>
      <c r="T281">
        <f>IMAGE("https://mitra.stanford.edu/kundaje/oak/projects/neuro-variants/variant_position/credible/roussos_2024/variant_figures/roussos_2024.childhood.GLU/rs941989_profile_position.png",4,220,900)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-0.0492539352</v>
      </c>
      <c r="G282" t="n">
        <v>0.1848880619019446</v>
      </c>
      <c r="H282" t="n">
        <v>0.0105253913874817</v>
      </c>
      <c r="I282" t="n">
        <v>0.577145760899354</v>
      </c>
      <c r="J282" t="n">
        <v>0.1332667126829921</v>
      </c>
      <c r="K282" t="n">
        <v>0.2035812135601667</v>
      </c>
      <c r="L282" t="b">
        <v>0</v>
      </c>
      <c r="M282" t="b">
        <v>0</v>
      </c>
      <c r="N282" t="inlineStr">
        <is>
          <t>ref</t>
        </is>
      </c>
      <c r="O282" t="n">
        <v>-100</v>
      </c>
      <c r="P282" t="n">
        <v>0.00817</v>
      </c>
      <c r="Q282" t="n">
        <v>-50</v>
      </c>
      <c r="R282" t="n">
        <v>0.0547</v>
      </c>
      <c r="S282">
        <f>IMAGE("https://mitra.stanford.edu/kundaje/oak/projects/neuro-variants/variant_position/credible/roussos_2024/variant_figures/roussos_2024.childhood.GLU/rs2227593_count_position.png",4,220,900)</f>
        <v/>
      </c>
      <c r="T282">
        <f>IMAGE("https://mitra.stanford.edu/kundaje/oak/projects/neuro-variants/variant_position/credible/roussos_2024/variant_figures/roussos_2024.childhood.GLU/rs2227593_profile_position.png",4,220,900)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-0.01414995746</v>
      </c>
      <c r="G283" t="n">
        <v>0.5875051429576378</v>
      </c>
      <c r="H283" t="n">
        <v>0.0232625912426983</v>
      </c>
      <c r="I283" t="n">
        <v>0.0572666930441125</v>
      </c>
      <c r="J283" t="n">
        <v>0.0233179144302388</v>
      </c>
      <c r="K283" t="n">
        <v>0.4742580357707108</v>
      </c>
      <c r="L283" t="b">
        <v>0</v>
      </c>
      <c r="M283" t="b">
        <v>0</v>
      </c>
      <c r="N283" t="inlineStr">
        <is>
          <t>ref</t>
        </is>
      </c>
      <c r="O283" t="n">
        <v>65</v>
      </c>
      <c r="P283" t="n">
        <v>0.005615</v>
      </c>
      <c r="Q283" t="n">
        <v>-100</v>
      </c>
      <c r="R283" t="n">
        <v>0.0961</v>
      </c>
      <c r="S283">
        <f>IMAGE("https://mitra.stanford.edu/kundaje/oak/projects/neuro-variants/variant_position/credible/roussos_2024/variant_figures/roussos_2024.childhood.GLU/rs1884994_count_position.png",4,220,900)</f>
        <v/>
      </c>
      <c r="T283">
        <f>IMAGE("https://mitra.stanford.edu/kundaje/oak/projects/neuro-variants/variant_position/credible/roussos_2024/variant_figures/roussos_2024.childhood.GLU/rs1884994_profile_position.png",4,220,900)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0.0467380462</v>
      </c>
      <c r="G284" t="n">
        <v>0.1944180146068906</v>
      </c>
      <c r="H284" t="n">
        <v>0.0084615482047196</v>
      </c>
      <c r="I284" t="n">
        <v>0.8321976872747817</v>
      </c>
      <c r="J284" t="n">
        <v>0.0013753386835896</v>
      </c>
      <c r="K284" t="n">
        <v>0.8142666932290241</v>
      </c>
      <c r="L284" t="b">
        <v>0</v>
      </c>
      <c r="M284" t="b">
        <v>0</v>
      </c>
      <c r="N284" t="inlineStr">
        <is>
          <t>alt</t>
        </is>
      </c>
      <c r="O284" t="n">
        <v>50</v>
      </c>
      <c r="P284" t="n">
        <v>0.0006905</v>
      </c>
      <c r="Q284" t="n">
        <v>100</v>
      </c>
      <c r="R284" t="n">
        <v>0.1349</v>
      </c>
      <c r="S284">
        <f>IMAGE("https://mitra.stanford.edu/kundaje/oak/projects/neuro-variants/variant_position/credible/roussos_2024/variant_figures/roussos_2024.childhood.GLU/rs6696163_count_position.png",4,220,900)</f>
        <v/>
      </c>
      <c r="T284">
        <f>IMAGE("https://mitra.stanford.edu/kundaje/oak/projects/neuro-variants/variant_position/credible/roussos_2024/variant_figures/roussos_2024.childhood.GLU/rs6696163_profile_position.png",4,220,900)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0.0256388127</v>
      </c>
      <c r="G285" t="n">
        <v>0.3180730898592723</v>
      </c>
      <c r="H285" t="n">
        <v>0.0121287911172419</v>
      </c>
      <c r="I285" t="n">
        <v>0.4424283119553071</v>
      </c>
      <c r="J285" t="n">
        <v>0.2588171057104885</v>
      </c>
      <c r="K285" t="n">
        <v>0.1149230957485571</v>
      </c>
      <c r="L285" t="b">
        <v>0</v>
      </c>
      <c r="M285" t="b">
        <v>0</v>
      </c>
      <c r="N285" t="inlineStr">
        <is>
          <t>alt</t>
        </is>
      </c>
      <c r="O285" t="n">
        <v>95</v>
      </c>
      <c r="P285" t="n">
        <v>0.00834</v>
      </c>
      <c r="Q285" t="n">
        <v>5</v>
      </c>
      <c r="R285" t="n">
        <v>0.007324</v>
      </c>
      <c r="S285">
        <f>IMAGE("https://mitra.stanford.edu/kundaje/oak/projects/neuro-variants/variant_position/credible/roussos_2024/variant_figures/roussos_2024.childhood.GLU/rs12092774_count_position.png",4,220,900)</f>
        <v/>
      </c>
      <c r="T285">
        <f>IMAGE("https://mitra.stanford.edu/kundaje/oak/projects/neuro-variants/variant_position/credible/roussos_2024/variant_figures/roussos_2024.childhood.GLU/rs12092774_profile_position.png",4,220,900)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0.07190692459999989</v>
      </c>
      <c r="G286" t="n">
        <v>0.0956345010335934</v>
      </c>
      <c r="H286" t="n">
        <v>0.016131551929237</v>
      </c>
      <c r="I286" t="n">
        <v>0.2009556757825478</v>
      </c>
      <c r="J286" t="n">
        <v>0.1891930316173364</v>
      </c>
      <c r="K286" t="n">
        <v>0.1585255889610817</v>
      </c>
      <c r="L286" t="b">
        <v>0</v>
      </c>
      <c r="M286" t="b">
        <v>0</v>
      </c>
      <c r="N286" t="inlineStr">
        <is>
          <t>alt</t>
        </is>
      </c>
      <c r="O286" t="n">
        <v>30</v>
      </c>
      <c r="P286" t="n">
        <v>0.001072</v>
      </c>
      <c r="Q286" t="n">
        <v>-55</v>
      </c>
      <c r="R286" t="n">
        <v>0.1663</v>
      </c>
      <c r="S286">
        <f>IMAGE("https://mitra.stanford.edu/kundaje/oak/projects/neuro-variants/variant_position/credible/roussos_2024/variant_figures/roussos_2024.childhood.GLU/rs77574979_count_position.png",4,220,900)</f>
        <v/>
      </c>
      <c r="T286">
        <f>IMAGE("https://mitra.stanford.edu/kundaje/oak/projects/neuro-variants/variant_position/credible/roussos_2024/variant_figures/roussos_2024.childhood.GLU/rs77574979_profile_position.png",4,220,900)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0.0672488738</v>
      </c>
      <c r="G287" t="n">
        <v>0.1156914704962689</v>
      </c>
      <c r="H287" t="n">
        <v>0.0251146032686172</v>
      </c>
      <c r="I287" t="n">
        <v>0.0466511953085612</v>
      </c>
      <c r="J287" t="n">
        <v>0.0196245892012732</v>
      </c>
      <c r="K287" t="n">
        <v>0.5136877929941384</v>
      </c>
      <c r="L287" t="b">
        <v>0</v>
      </c>
      <c r="M287" t="b">
        <v>0</v>
      </c>
      <c r="N287" t="inlineStr">
        <is>
          <t>alt</t>
        </is>
      </c>
      <c r="O287" t="n">
        <v>-35</v>
      </c>
      <c r="P287" t="n">
        <v>0.00417</v>
      </c>
      <c r="Q287" t="n">
        <v>5</v>
      </c>
      <c r="R287" t="n">
        <v>0.00787</v>
      </c>
      <c r="S287">
        <f>IMAGE("https://mitra.stanford.edu/kundaje/oak/projects/neuro-variants/variant_position/credible/roussos_2024/variant_figures/roussos_2024.childhood.GLU/rs61228022_count_position.png",4,220,900)</f>
        <v/>
      </c>
      <c r="T287">
        <f>IMAGE("https://mitra.stanford.edu/kundaje/oak/projects/neuro-variants/variant_position/credible/roussos_2024/variant_figures/roussos_2024.childhood.GLU/rs61228022_profile_position.png",4,220,900)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-0.132476984</v>
      </c>
      <c r="G288" t="n">
        <v>0.0227267329452077</v>
      </c>
      <c r="H288" t="n">
        <v>0.0171573589884513</v>
      </c>
      <c r="I288" t="n">
        <v>0.1614804913353226</v>
      </c>
      <c r="J288" t="n">
        <v>0.0991325579239081</v>
      </c>
      <c r="K288" t="n">
        <v>0.2457350966450527</v>
      </c>
      <c r="L288" t="b">
        <v>0</v>
      </c>
      <c r="M288" t="b">
        <v>0</v>
      </c>
      <c r="N288" t="inlineStr">
        <is>
          <t>ref</t>
        </is>
      </c>
      <c r="O288" t="n">
        <v>95</v>
      </c>
      <c r="P288" t="n">
        <v>0.02252</v>
      </c>
      <c r="Q288" t="n">
        <v>95</v>
      </c>
      <c r="R288" t="n">
        <v>0.3887</v>
      </c>
      <c r="S288">
        <f>IMAGE("https://mitra.stanford.edu/kundaje/oak/projects/neuro-variants/variant_position/credible/roussos_2024/variant_figures/roussos_2024.childhood.GLU/rs55988379_count_position.png",4,220,900)</f>
        <v/>
      </c>
      <c r="T288">
        <f>IMAGE("https://mitra.stanford.edu/kundaje/oak/projects/neuro-variants/variant_position/credible/roussos_2024/variant_figures/roussos_2024.childhood.GLU/rs55988379_profile_position.png",4,220,900)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0.0407674534</v>
      </c>
      <c r="G289" t="n">
        <v>0.2296424564506831</v>
      </c>
      <c r="H289" t="n">
        <v>0.0442041834759014</v>
      </c>
      <c r="I289" t="n">
        <v>0.0045314808331313</v>
      </c>
      <c r="J289" t="n">
        <v>0.133086424840574</v>
      </c>
      <c r="K289" t="n">
        <v>0.2033651991441232</v>
      </c>
      <c r="L289" t="b">
        <v>1</v>
      </c>
      <c r="M289" t="b">
        <v>1</v>
      </c>
      <c r="N289" t="inlineStr">
        <is>
          <t>alt</t>
        </is>
      </c>
      <c r="O289" t="n">
        <v>20</v>
      </c>
      <c r="P289" t="n">
        <v>0.001953</v>
      </c>
      <c r="Q289" t="n">
        <v>30</v>
      </c>
      <c r="R289" t="n">
        <v>0.05762</v>
      </c>
      <c r="S289">
        <f>IMAGE("https://mitra.stanford.edu/kundaje/oak/projects/neuro-variants/variant_position/credible/roussos_2024/variant_figures/roussos_2024.childhood.GLU/rs61826842_count_position.png",4,220,900)</f>
        <v/>
      </c>
      <c r="T289">
        <f>IMAGE("https://mitra.stanford.edu/kundaje/oak/projects/neuro-variants/variant_position/credible/roussos_2024/variant_figures/roussos_2024.childhood.GLU/rs61826842_profile_position.png",4,220,900)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0.0130162593999999</v>
      </c>
      <c r="G290" t="n">
        <v>0.5814735593633057</v>
      </c>
      <c r="H290" t="n">
        <v>0.039982593861288</v>
      </c>
      <c r="I290" t="n">
        <v>0.0067534186857538</v>
      </c>
      <c r="J290" t="n">
        <v>0.0018059690729083</v>
      </c>
      <c r="K290" t="n">
        <v>0.7756901893114453</v>
      </c>
      <c r="L290" t="b">
        <v>0</v>
      </c>
      <c r="M290" t="b">
        <v>0</v>
      </c>
      <c r="N290" t="inlineStr">
        <is>
          <t>alt</t>
        </is>
      </c>
      <c r="O290" t="n">
        <v>-100</v>
      </c>
      <c r="P290" t="n">
        <v>0.001755</v>
      </c>
      <c r="Q290" t="n">
        <v>-60</v>
      </c>
      <c r="R290" t="n">
        <v>0.06067</v>
      </c>
      <c r="S290">
        <f>IMAGE("https://mitra.stanford.edu/kundaje/oak/projects/neuro-variants/variant_position/credible/roussos_2024/variant_figures/roussos_2024.childhood.GLU/rs13376011_count_position.png",4,220,900)</f>
        <v/>
      </c>
      <c r="T290">
        <f>IMAGE("https://mitra.stanford.edu/kundaje/oak/projects/neuro-variants/variant_position/credible/roussos_2024/variant_figures/roussos_2024.childhood.GLU/rs13376011_profile_position.png",4,220,900)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-0.1378007562</v>
      </c>
      <c r="G291" t="n">
        <v>0.0230289409981766</v>
      </c>
      <c r="H291" t="n">
        <v>0.0180141924019795</v>
      </c>
      <c r="I291" t="n">
        <v>0.1564350885091145</v>
      </c>
      <c r="J291" t="n">
        <v>0.0232251949684238</v>
      </c>
      <c r="K291" t="n">
        <v>0.4680740084412693</v>
      </c>
      <c r="L291" t="b">
        <v>0</v>
      </c>
      <c r="M291" t="b">
        <v>0</v>
      </c>
      <c r="N291" t="inlineStr">
        <is>
          <t>ref</t>
        </is>
      </c>
      <c r="O291" t="n">
        <v>95</v>
      </c>
      <c r="P291" t="n">
        <v>0.009900000000000001</v>
      </c>
      <c r="Q291" t="n">
        <v>-15</v>
      </c>
      <c r="R291" t="n">
        <v>0.03119</v>
      </c>
      <c r="S291">
        <f>IMAGE("https://mitra.stanford.edu/kundaje/oak/projects/neuro-variants/variant_position/credible/roussos_2024/variant_figures/roussos_2024.childhood.GLU/rs6425273_count_position.png",4,220,900)</f>
        <v/>
      </c>
      <c r="T291">
        <f>IMAGE("https://mitra.stanford.edu/kundaje/oak/projects/neuro-variants/variant_position/credible/roussos_2024/variant_figures/roussos_2024.childhood.GLU/rs6425273_profile_position.png",4,220,900)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-0.072279081</v>
      </c>
      <c r="G292" t="n">
        <v>0.0920298539964995</v>
      </c>
      <c r="H292" t="n">
        <v>0.0189719052048398</v>
      </c>
      <c r="I292" t="n">
        <v>0.120566953643635</v>
      </c>
      <c r="J292" t="n">
        <v>0.0187674492876054</v>
      </c>
      <c r="K292" t="n">
        <v>0.5071661244471785</v>
      </c>
      <c r="L292" t="b">
        <v>0</v>
      </c>
      <c r="M292" t="b">
        <v>0</v>
      </c>
      <c r="N292" t="inlineStr">
        <is>
          <t>ref</t>
        </is>
      </c>
      <c r="O292" t="n">
        <v>95</v>
      </c>
      <c r="P292" t="n">
        <v>0.00961</v>
      </c>
      <c r="Q292" t="n">
        <v>85</v>
      </c>
      <c r="R292" t="n">
        <v>0.06270000000000001</v>
      </c>
      <c r="S292">
        <f>IMAGE("https://mitra.stanford.edu/kundaje/oak/projects/neuro-variants/variant_position/credible/roussos_2024/variant_figures/roussos_2024.childhood.GLU/rs11587684_count_position.png",4,220,900)</f>
        <v/>
      </c>
      <c r="T292">
        <f>IMAGE("https://mitra.stanford.edu/kundaje/oak/projects/neuro-variants/variant_position/credible/roussos_2024/variant_figures/roussos_2024.childhood.GLU/rs11587684_profile_position.png",4,220,900)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-0.20623513</v>
      </c>
      <c r="G293" t="n">
        <v>0.0070405360899086</v>
      </c>
      <c r="H293" t="n">
        <v>0.0338364245777942</v>
      </c>
      <c r="I293" t="n">
        <v>0.0143289181305338</v>
      </c>
      <c r="J293" t="n">
        <v>0.118128715217324</v>
      </c>
      <c r="K293" t="n">
        <v>0.22324830610165</v>
      </c>
      <c r="L293" t="b">
        <v>1</v>
      </c>
      <c r="M293" t="b">
        <v>1</v>
      </c>
      <c r="N293" t="inlineStr">
        <is>
          <t>ref</t>
        </is>
      </c>
      <c r="O293" t="n">
        <v>95</v>
      </c>
      <c r="P293" t="n">
        <v>0.01102</v>
      </c>
      <c r="Q293" t="n">
        <v>95</v>
      </c>
      <c r="R293" t="n">
        <v>0.2334</v>
      </c>
      <c r="S293">
        <f>IMAGE("https://mitra.stanford.edu/kundaje/oak/projects/neuro-variants/variant_position/credible/roussos_2024/variant_figures/roussos_2024.childhood.GLU/rs72720790_count_position.png",4,220,900)</f>
        <v/>
      </c>
      <c r="T293">
        <f>IMAGE("https://mitra.stanford.edu/kundaje/oak/projects/neuro-variants/variant_position/credible/roussos_2024/variant_figures/roussos_2024.childhood.GLU/rs72720790_profile_position.png",4,220,900)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0.0104987059799999</v>
      </c>
      <c r="G294" t="n">
        <v>0.6134681810095596</v>
      </c>
      <c r="H294" t="n">
        <v>0.0086338792689887</v>
      </c>
      <c r="I294" t="n">
        <v>0.801940268400395</v>
      </c>
      <c r="J294" t="n">
        <v>0.0007963571553668</v>
      </c>
      <c r="K294" t="n">
        <v>0.8414735237778549</v>
      </c>
      <c r="L294" t="b">
        <v>0</v>
      </c>
      <c r="M294" t="b">
        <v>0</v>
      </c>
      <c r="N294" t="inlineStr">
        <is>
          <t>alt</t>
        </is>
      </c>
      <c r="O294" t="n">
        <v>-95</v>
      </c>
      <c r="P294" t="n">
        <v>0.005722</v>
      </c>
      <c r="Q294" t="n">
        <v>-55</v>
      </c>
      <c r="R294" t="n">
        <v>0.09344</v>
      </c>
      <c r="S294">
        <f>IMAGE("https://mitra.stanford.edu/kundaje/oak/projects/neuro-variants/variant_position/credible/roussos_2024/variant_figures/roussos_2024.childhood.GLU/rs11587000_count_position.png",4,220,900)</f>
        <v/>
      </c>
      <c r="T294">
        <f>IMAGE("https://mitra.stanford.edu/kundaje/oak/projects/neuro-variants/variant_position/credible/roussos_2024/variant_figures/roussos_2024.childhood.GLU/rs11587000_profile_position.png",4,220,900)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-0.0927036334</v>
      </c>
      <c r="G295" t="n">
        <v>0.0554237942544348</v>
      </c>
      <c r="H295" t="n">
        <v>0.0128884673393158</v>
      </c>
      <c r="I295" t="n">
        <v>0.3751307057166517</v>
      </c>
      <c r="J295" t="n">
        <v>0.3052159848352168</v>
      </c>
      <c r="K295" t="n">
        <v>0.09485278532108669</v>
      </c>
      <c r="L295" t="b">
        <v>0</v>
      </c>
      <c r="M295" t="b">
        <v>0</v>
      </c>
      <c r="N295" t="inlineStr">
        <is>
          <t>ref</t>
        </is>
      </c>
      <c r="O295" t="n">
        <v>-25</v>
      </c>
      <c r="P295" t="n">
        <v>0.0004996999999999999</v>
      </c>
      <c r="Q295" t="n">
        <v>-80</v>
      </c>
      <c r="R295" t="n">
        <v>0.1221</v>
      </c>
      <c r="S295">
        <f>IMAGE("https://mitra.stanford.edu/kundaje/oak/projects/neuro-variants/variant_position/credible/roussos_2024/variant_figures/roussos_2024.childhood.GLU/rs1415339_count_position.png",4,220,900)</f>
        <v/>
      </c>
      <c r="T295">
        <f>IMAGE("https://mitra.stanford.edu/kundaje/oak/projects/neuro-variants/variant_position/credible/roussos_2024/variant_figures/roussos_2024.childhood.GLU/rs1415339_profile_position.png",4,220,900)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-0.0022026081</v>
      </c>
      <c r="G296" t="n">
        <v>0.5197191370977718</v>
      </c>
      <c r="H296" t="n">
        <v>0.0245614100341938</v>
      </c>
      <c r="I296" t="n">
        <v>0.0468730996480964</v>
      </c>
      <c r="J296" t="n">
        <v>0.0019811058341145</v>
      </c>
      <c r="K296" t="n">
        <v>0.7829359586159614</v>
      </c>
      <c r="L296" t="b">
        <v>0</v>
      </c>
      <c r="M296" t="b">
        <v>0</v>
      </c>
      <c r="N296" t="inlineStr">
        <is>
          <t>ref</t>
        </is>
      </c>
      <c r="O296" t="n">
        <v>100</v>
      </c>
      <c r="P296" t="n">
        <v>0.004913</v>
      </c>
      <c r="Q296" t="n">
        <v>-55</v>
      </c>
      <c r="R296" t="n">
        <v>0.0631</v>
      </c>
      <c r="S296">
        <f>IMAGE("https://mitra.stanford.edu/kundaje/oak/projects/neuro-variants/variant_position/credible/roussos_2024/variant_figures/roussos_2024.childhood.GLU/rs34929437_count_position.png",4,220,900)</f>
        <v/>
      </c>
      <c r="T296">
        <f>IMAGE("https://mitra.stanford.edu/kundaje/oak/projects/neuro-variants/variant_position/credible/roussos_2024/variant_figures/roussos_2024.childhood.GLU/rs34929437_profile_position.png",4,220,900)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0.0361741186</v>
      </c>
      <c r="G297" t="n">
        <v>0.2783377005777205</v>
      </c>
      <c r="H297" t="n">
        <v>0.0107242263267869</v>
      </c>
      <c r="I297" t="n">
        <v>0.5579021766646228</v>
      </c>
      <c r="J297" t="n">
        <v>0.2561735708325177</v>
      </c>
      <c r="K297" t="n">
        <v>0.1157551266164285</v>
      </c>
      <c r="L297" t="b">
        <v>0</v>
      </c>
      <c r="M297" t="b">
        <v>0</v>
      </c>
      <c r="N297" t="inlineStr">
        <is>
          <t>alt</t>
        </is>
      </c>
      <c r="O297" t="n">
        <v>100</v>
      </c>
      <c r="P297" t="n">
        <v>0.02701</v>
      </c>
      <c r="Q297" t="n">
        <v>60</v>
      </c>
      <c r="R297" t="n">
        <v>0.02905</v>
      </c>
      <c r="S297">
        <f>IMAGE("https://mitra.stanford.edu/kundaje/oak/projects/neuro-variants/variant_position/credible/roussos_2024/variant_figures/roussos_2024.childhood.GLU/rs12143554_count_position.png",4,220,900)</f>
        <v/>
      </c>
      <c r="T297">
        <f>IMAGE("https://mitra.stanford.edu/kundaje/oak/projects/neuro-variants/variant_position/credible/roussos_2024/variant_figures/roussos_2024.childhood.GLU/rs12143554_profile_position.png",4,220,900)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-0.0291552185999999</v>
      </c>
      <c r="G298" t="n">
        <v>0.345088512680833</v>
      </c>
      <c r="H298" t="n">
        <v>0.0143887372531588</v>
      </c>
      <c r="I298" t="n">
        <v>0.2848615781831481</v>
      </c>
      <c r="J298" t="n">
        <v>0.2705234528727579</v>
      </c>
      <c r="K298" t="n">
        <v>0.1101735212440213</v>
      </c>
      <c r="L298" t="b">
        <v>0</v>
      </c>
      <c r="M298" t="b">
        <v>0</v>
      </c>
      <c r="N298" t="inlineStr">
        <is>
          <t>ref</t>
        </is>
      </c>
      <c r="O298" t="n">
        <v>-80</v>
      </c>
      <c r="P298" t="n">
        <v>0.04626</v>
      </c>
      <c r="Q298" t="n">
        <v>-40</v>
      </c>
      <c r="R298" t="n">
        <v>0.1179</v>
      </c>
      <c r="S298">
        <f>IMAGE("https://mitra.stanford.edu/kundaje/oak/projects/neuro-variants/variant_position/credible/roussos_2024/variant_figures/roussos_2024.childhood.GLU/rs12138989_count_position.png",4,220,900)</f>
        <v/>
      </c>
      <c r="T298">
        <f>IMAGE("https://mitra.stanford.edu/kundaje/oak/projects/neuro-variants/variant_position/credible/roussos_2024/variant_figures/roussos_2024.childhood.GLU/rs12138989_profile_position.png",4,220,900)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-0.0259256598</v>
      </c>
      <c r="G299" t="n">
        <v>0.3864174179428439</v>
      </c>
      <c r="H299" t="n">
        <v>0.009792421154825801</v>
      </c>
      <c r="I299" t="n">
        <v>0.6858826907862987</v>
      </c>
      <c r="J299" t="n">
        <v>0.2824461454459291</v>
      </c>
      <c r="K299" t="n">
        <v>0.1049101834452997</v>
      </c>
      <c r="L299" t="b">
        <v>0</v>
      </c>
      <c r="M299" t="b">
        <v>0</v>
      </c>
      <c r="N299" t="inlineStr">
        <is>
          <t>ref</t>
        </is>
      </c>
      <c r="O299" t="n">
        <v>-100</v>
      </c>
      <c r="P299" t="n">
        <v>0.004433</v>
      </c>
      <c r="Q299" t="n">
        <v>-30</v>
      </c>
      <c r="R299" t="n">
        <v>0.04517</v>
      </c>
      <c r="S299">
        <f>IMAGE("https://mitra.stanford.edu/kundaje/oak/projects/neuro-variants/variant_position/credible/roussos_2024/variant_figures/roussos_2024.childhood.GLU/rs55902020_count_position.png",4,220,900)</f>
        <v/>
      </c>
      <c r="T299">
        <f>IMAGE("https://mitra.stanford.edu/kundaje/oak/projects/neuro-variants/variant_position/credible/roussos_2024/variant_figures/roussos_2024.childhood.GLU/rs55902020_profile_position.png",4,220,900)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-0.0612337327999999</v>
      </c>
      <c r="G300" t="n">
        <v>0.1363821009613348</v>
      </c>
      <c r="H300" t="n">
        <v>0.037861247432359</v>
      </c>
      <c r="I300" t="n">
        <v>0.008282312680834099</v>
      </c>
      <c r="J300" t="n">
        <v>0.0274686556708252</v>
      </c>
      <c r="K300" t="n">
        <v>0.4415308004892451</v>
      </c>
      <c r="L300" t="b">
        <v>1</v>
      </c>
      <c r="M300" t="b">
        <v>0</v>
      </c>
      <c r="N300" t="inlineStr">
        <is>
          <t>ref</t>
        </is>
      </c>
      <c r="O300" t="n">
        <v>-90</v>
      </c>
      <c r="P300" t="n">
        <v>0.0001984</v>
      </c>
      <c r="Q300" t="n">
        <v>-10</v>
      </c>
      <c r="R300" t="n">
        <v>0.03223</v>
      </c>
      <c r="S300">
        <f>IMAGE("https://mitra.stanford.edu/kundaje/oak/projects/neuro-variants/variant_position/credible/roussos_2024/variant_figures/roussos_2024.childhood.GLU/rs10913422_count_position.png",4,220,900)</f>
        <v/>
      </c>
      <c r="T300">
        <f>IMAGE("https://mitra.stanford.edu/kundaje/oak/projects/neuro-variants/variant_position/credible/roussos_2024/variant_figures/roussos_2024.childhood.GLU/rs10913422_profile_position.png",4,220,900)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-0.00246418994</v>
      </c>
      <c r="G301" t="n">
        <v>0.8811973353329327</v>
      </c>
      <c r="H301" t="n">
        <v>0.0132800686422213</v>
      </c>
      <c r="I301" t="n">
        <v>0.3485015749741338</v>
      </c>
      <c r="J301" t="n">
        <v>0.0191929285957122</v>
      </c>
      <c r="K301" t="n">
        <v>0.5094108932173032</v>
      </c>
      <c r="L301" t="b">
        <v>0</v>
      </c>
      <c r="M301" t="b">
        <v>0</v>
      </c>
      <c r="N301" t="inlineStr">
        <is>
          <t>ref</t>
        </is>
      </c>
      <c r="O301" t="n">
        <v>-35</v>
      </c>
      <c r="P301" t="n">
        <v>0.004444</v>
      </c>
      <c r="Q301" t="n">
        <v>-90</v>
      </c>
      <c r="R301" t="n">
        <v>0.12244</v>
      </c>
      <c r="S301">
        <f>IMAGE("https://mitra.stanford.edu/kundaje/oak/projects/neuro-variants/variant_position/credible/roussos_2024/variant_figures/roussos_2024.childhood.GLU/rs12065872_count_position.png",4,220,900)</f>
        <v/>
      </c>
      <c r="T301">
        <f>IMAGE("https://mitra.stanford.edu/kundaje/oak/projects/neuro-variants/variant_position/credible/roussos_2024/variant_figures/roussos_2024.childhood.GLU/rs12065872_profile_position.png",4,220,900)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0.081232278</v>
      </c>
      <c r="G302" t="n">
        <v>0.0736584058400203</v>
      </c>
      <c r="H302" t="n">
        <v>0.0116471268387616</v>
      </c>
      <c r="I302" t="n">
        <v>0.4838403684843515</v>
      </c>
      <c r="J302" t="n">
        <v>0.1561931449411231</v>
      </c>
      <c r="K302" t="n">
        <v>0.1837644719828894</v>
      </c>
      <c r="L302" t="b">
        <v>0</v>
      </c>
      <c r="M302" t="b">
        <v>0</v>
      </c>
      <c r="N302" t="inlineStr">
        <is>
          <t>alt</t>
        </is>
      </c>
      <c r="O302" t="n">
        <v>-100</v>
      </c>
      <c r="P302" t="n">
        <v>0.002502</v>
      </c>
      <c r="Q302" t="n">
        <v>-80</v>
      </c>
      <c r="R302" t="n">
        <v>0.0391</v>
      </c>
      <c r="S302">
        <f>IMAGE("https://mitra.stanford.edu/kundaje/oak/projects/neuro-variants/variant_position/credible/roussos_2024/variant_figures/roussos_2024.childhood.GLU/rs3818433_count_position.png",4,220,900)</f>
        <v/>
      </c>
      <c r="T302">
        <f>IMAGE("https://mitra.stanford.edu/kundaje/oak/projects/neuro-variants/variant_position/credible/roussos_2024/variant_figures/roussos_2024.childhood.GLU/rs3818433_profile_position.png",4,220,900)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-0.148644738</v>
      </c>
      <c r="G303" t="n">
        <v>0.0173528517140249</v>
      </c>
      <c r="H303" t="n">
        <v>0.0164611302006512</v>
      </c>
      <c r="I303" t="n">
        <v>0.1912827312146656</v>
      </c>
      <c r="J303" t="n">
        <v>0.0627751965137481</v>
      </c>
      <c r="K303" t="n">
        <v>0.3199341559358488</v>
      </c>
      <c r="L303" t="b">
        <v>1</v>
      </c>
      <c r="M303" t="b">
        <v>0</v>
      </c>
      <c r="N303" t="inlineStr">
        <is>
          <t>ref</t>
        </is>
      </c>
      <c r="O303" t="n">
        <v>-35</v>
      </c>
      <c r="P303" t="n">
        <v>0.03056</v>
      </c>
      <c r="Q303" t="n">
        <v>-25</v>
      </c>
      <c r="R303" t="n">
        <v>0.05072</v>
      </c>
      <c r="S303">
        <f>IMAGE("https://mitra.stanford.edu/kundaje/oak/projects/neuro-variants/variant_position/credible/roussos_2024/variant_figures/roussos_2024.childhood.GLU/rs432798_count_position.png",4,220,900)</f>
        <v/>
      </c>
      <c r="T303">
        <f>IMAGE("https://mitra.stanford.edu/kundaje/oak/projects/neuro-variants/variant_position/credible/roussos_2024/variant_figures/roussos_2024.childhood.GLU/rs432798_profile_position.png",4,220,900)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-0.0291939537999999</v>
      </c>
      <c r="G304" t="n">
        <v>0.3130562830831895</v>
      </c>
      <c r="H304" t="n">
        <v>0.0293262899669655</v>
      </c>
      <c r="I304" t="n">
        <v>0.0230526688274995</v>
      </c>
      <c r="J304" t="n">
        <v>0.0872510740004326</v>
      </c>
      <c r="K304" t="n">
        <v>0.2727403044364626</v>
      </c>
      <c r="L304" t="b">
        <v>0</v>
      </c>
      <c r="M304" t="b">
        <v>0</v>
      </c>
      <c r="N304" t="inlineStr">
        <is>
          <t>ref</t>
        </is>
      </c>
      <c r="O304" t="n">
        <v>-75</v>
      </c>
      <c r="P304" t="n">
        <v>0.006462</v>
      </c>
      <c r="Q304" t="n">
        <v>45</v>
      </c>
      <c r="R304" t="n">
        <v>0.02307</v>
      </c>
      <c r="S304">
        <f>IMAGE("https://mitra.stanford.edu/kundaje/oak/projects/neuro-variants/variant_position/credible/roussos_2024/variant_figures/roussos_2024.childhood.GLU/rs3122378_count_position.png",4,220,900)</f>
        <v/>
      </c>
      <c r="T304">
        <f>IMAGE("https://mitra.stanford.edu/kundaje/oak/projects/neuro-variants/variant_position/credible/roussos_2024/variant_figures/roussos_2024.childhood.GLU/rs3122378_profile_position.png",4,220,900)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0.0222018259999999</v>
      </c>
      <c r="G305" t="n">
        <v>0.4070405872679508</v>
      </c>
      <c r="H305" t="n">
        <v>0.019028047087235</v>
      </c>
      <c r="I305" t="n">
        <v>0.1164513461047962</v>
      </c>
      <c r="J305" t="n">
        <v>0.0433514994797407</v>
      </c>
      <c r="K305" t="n">
        <v>0.3915312748109507</v>
      </c>
      <c r="L305" t="b">
        <v>0</v>
      </c>
      <c r="M305" t="b">
        <v>0</v>
      </c>
      <c r="N305" t="inlineStr">
        <is>
          <t>alt</t>
        </is>
      </c>
      <c r="O305" t="n">
        <v>100</v>
      </c>
      <c r="P305" t="n">
        <v>0.03168</v>
      </c>
      <c r="Q305" t="n">
        <v>100</v>
      </c>
      <c r="R305" t="n">
        <v>0.2317</v>
      </c>
      <c r="S305">
        <f>IMAGE("https://mitra.stanford.edu/kundaje/oak/projects/neuro-variants/variant_position/credible/roussos_2024/variant_figures/roussos_2024.childhood.GLU/rs12049237_count_position.png",4,220,900)</f>
        <v/>
      </c>
      <c r="T305">
        <f>IMAGE("https://mitra.stanford.edu/kundaje/oak/projects/neuro-variants/variant_position/credible/roussos_2024/variant_figures/roussos_2024.childhood.GLU/rs12049237_profile_position.png",4,220,900)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-0.003155303592</v>
      </c>
      <c r="G306" t="n">
        <v>0.8702815732232115</v>
      </c>
      <c r="H306" t="n">
        <v>0.0233268415809147</v>
      </c>
      <c r="I306" t="n">
        <v>0.0572701420976094</v>
      </c>
      <c r="J306" t="n">
        <v>0.0085549156768004</v>
      </c>
      <c r="K306" t="n">
        <v>0.606927873060228</v>
      </c>
      <c r="L306" t="b">
        <v>0</v>
      </c>
      <c r="M306" t="b">
        <v>0</v>
      </c>
      <c r="N306" t="inlineStr">
        <is>
          <t>ref</t>
        </is>
      </c>
      <c r="O306" t="n">
        <v>-45</v>
      </c>
      <c r="P306" t="n">
        <v>0.001955</v>
      </c>
      <c r="Q306" t="n">
        <v>-60</v>
      </c>
      <c r="R306" t="n">
        <v>0.0803</v>
      </c>
      <c r="S306">
        <f>IMAGE("https://mitra.stanford.edu/kundaje/oak/projects/neuro-variants/variant_position/credible/roussos_2024/variant_figures/roussos_2024.childhood.GLU/rs78993991_count_position.png",4,220,900)</f>
        <v/>
      </c>
      <c r="T306">
        <f>IMAGE("https://mitra.stanford.edu/kundaje/oak/projects/neuro-variants/variant_position/credible/roussos_2024/variant_figures/roussos_2024.childhood.GLU/rs78993991_profile_position.png",4,220,900)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0.0760007882</v>
      </c>
      <c r="G307" t="n">
        <v>0.0851233596417881</v>
      </c>
      <c r="H307" t="n">
        <v>0.0151586949369394</v>
      </c>
      <c r="I307" t="n">
        <v>0.2377867497886717</v>
      </c>
      <c r="J307" t="n">
        <v>0.0086074567051623</v>
      </c>
      <c r="K307" t="n">
        <v>0.6073998121831847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0.155</v>
      </c>
      <c r="Q307" t="n">
        <v>-45</v>
      </c>
      <c r="R307" t="n">
        <v>0.05682</v>
      </c>
      <c r="S307">
        <f>IMAGE("https://mitra.stanford.edu/kundaje/oak/projects/neuro-variants/variant_position/credible/roussos_2024/variant_figures/roussos_2024.childhood.GLU/rs13306728_count_position.png",4,220,900)</f>
        <v/>
      </c>
      <c r="T307">
        <f>IMAGE("https://mitra.stanford.edu/kundaje/oak/projects/neuro-variants/variant_position/credible/roussos_2024/variant_figures/roussos_2024.childhood.GLU/rs13306728_profile_position.png",4,220,900)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-0.0469257482</v>
      </c>
      <c r="G308" t="n">
        <v>0.2063841136464463</v>
      </c>
      <c r="H308" t="n">
        <v>0.0368723208074329</v>
      </c>
      <c r="I308" t="n">
        <v>0.0091838226302033</v>
      </c>
      <c r="J308" t="n">
        <v>0.0216582360637497</v>
      </c>
      <c r="K308" t="n">
        <v>0.4750821741007891</v>
      </c>
      <c r="L308" t="b">
        <v>1</v>
      </c>
      <c r="M308" t="b">
        <v>0</v>
      </c>
      <c r="N308" t="inlineStr">
        <is>
          <t>ref</t>
        </is>
      </c>
      <c r="O308" t="n">
        <v>-15</v>
      </c>
      <c r="P308" t="n">
        <v>0.00763</v>
      </c>
      <c r="Q308" t="n">
        <v>60</v>
      </c>
      <c r="R308" t="n">
        <v>0.03894</v>
      </c>
      <c r="S308">
        <f>IMAGE("https://mitra.stanford.edu/kundaje/oak/projects/neuro-variants/variant_position/credible/roussos_2024/variant_figures/roussos_2024.childhood.GLU/rs12141199_count_position.png",4,220,900)</f>
        <v/>
      </c>
      <c r="T308">
        <f>IMAGE("https://mitra.stanford.edu/kundaje/oak/projects/neuro-variants/variant_position/credible/roussos_2024/variant_figures/roussos_2024.childhood.GLU/rs12141199_profile_position.png",4,220,900)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0.08272439299999999</v>
      </c>
      <c r="G309" t="n">
        <v>0.07495758218516731</v>
      </c>
      <c r="H309" t="n">
        <v>0.0192945126397663</v>
      </c>
      <c r="I309" t="n">
        <v>0.12330986603</v>
      </c>
      <c r="J309" t="n">
        <v>0.0060885779925205</v>
      </c>
      <c r="K309" t="n">
        <v>0.6531146068844835</v>
      </c>
      <c r="L309" t="b">
        <v>0</v>
      </c>
      <c r="M309" t="b">
        <v>0</v>
      </c>
      <c r="N309" t="inlineStr">
        <is>
          <t>alt</t>
        </is>
      </c>
      <c r="O309" t="n">
        <v>50</v>
      </c>
      <c r="P309" t="n">
        <v>0.000145</v>
      </c>
      <c r="Q309" t="n">
        <v>40</v>
      </c>
      <c r="R309" t="n">
        <v>0.0509</v>
      </c>
      <c r="S309">
        <f>IMAGE("https://mitra.stanford.edu/kundaje/oak/projects/neuro-variants/variant_position/credible/roussos_2024/variant_figures/roussos_2024.childhood.GLU/rs12047160_count_position.png",4,220,900)</f>
        <v/>
      </c>
      <c r="T309">
        <f>IMAGE("https://mitra.stanford.edu/kundaje/oak/projects/neuro-variants/variant_position/credible/roussos_2024/variant_figures/roussos_2024.childhood.GLU/rs12047160_profile_position.png",4,220,900)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0.016903234476</v>
      </c>
      <c r="G310" t="n">
        <v>0.5160123865779069</v>
      </c>
      <c r="H310" t="n">
        <v>0.055238418194216</v>
      </c>
      <c r="I310" t="n">
        <v>0.0019549212484822</v>
      </c>
      <c r="J310" t="n">
        <v>0.013137317522948</v>
      </c>
      <c r="K310" t="n">
        <v>0.5519080443351282</v>
      </c>
      <c r="L310" t="b">
        <v>1</v>
      </c>
      <c r="M310" t="b">
        <v>0</v>
      </c>
      <c r="N310" t="inlineStr">
        <is>
          <t>alt</t>
        </is>
      </c>
      <c r="O310" t="n">
        <v>-40</v>
      </c>
      <c r="P310" t="n">
        <v>0.0094</v>
      </c>
      <c r="Q310" t="n">
        <v>45</v>
      </c>
      <c r="R310" t="n">
        <v>0.0481</v>
      </c>
      <c r="S310">
        <f>IMAGE("https://mitra.stanford.edu/kundaje/oak/projects/neuro-variants/variant_position/credible/roussos_2024/variant_figures/roussos_2024.childhood.GLU/rs12144580_count_position.png",4,220,900)</f>
        <v/>
      </c>
      <c r="T310">
        <f>IMAGE("https://mitra.stanford.edu/kundaje/oak/projects/neuro-variants/variant_position/credible/roussos_2024/variant_figures/roussos_2024.childhood.GLU/rs12144580_profile_position.png",4,220,900)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-0.085378389</v>
      </c>
      <c r="G311" t="n">
        <v>0.0701956837623243</v>
      </c>
      <c r="H311" t="n">
        <v>0.0138876802100028</v>
      </c>
      <c r="I311" t="n">
        <v>0.3138889982374179</v>
      </c>
      <c r="J311" t="n">
        <v>0.6522855347337406</v>
      </c>
      <c r="K311" t="n">
        <v>0.0198301230113855</v>
      </c>
      <c r="L311" t="b">
        <v>0</v>
      </c>
      <c r="M311" t="b">
        <v>0</v>
      </c>
      <c r="N311" t="inlineStr">
        <is>
          <t>ref</t>
        </is>
      </c>
      <c r="O311" t="n">
        <v>80</v>
      </c>
      <c r="P311" t="n">
        <v>0.006218</v>
      </c>
      <c r="Q311" t="n">
        <v>10</v>
      </c>
      <c r="R311" t="n">
        <v>0.01767</v>
      </c>
      <c r="S311">
        <f>IMAGE("https://mitra.stanford.edu/kundaje/oak/projects/neuro-variants/variant_position/credible/roussos_2024/variant_figures/roussos_2024.childhood.GLU/rs6425537_count_position.png",4,220,900)</f>
        <v/>
      </c>
      <c r="T311">
        <f>IMAGE("https://mitra.stanford.edu/kundaje/oak/projects/neuro-variants/variant_position/credible/roussos_2024/variant_figures/roussos_2024.childhood.GLU/rs6425537_profile_position.png",4,220,900)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0.002296031802</v>
      </c>
      <c r="G312" t="n">
        <v>0.8945673174249315</v>
      </c>
      <c r="H312" t="n">
        <v>0.014323474957598</v>
      </c>
      <c r="I312" t="n">
        <v>0.2866867323331802</v>
      </c>
      <c r="J312" t="n">
        <v>0.825954237794513</v>
      </c>
      <c r="K312" t="n">
        <v>0.0057267916616638</v>
      </c>
      <c r="L312" t="b">
        <v>0</v>
      </c>
      <c r="M312" t="b">
        <v>0</v>
      </c>
      <c r="N312" t="inlineStr">
        <is>
          <t>alt</t>
        </is>
      </c>
      <c r="O312" t="n">
        <v>90</v>
      </c>
      <c r="P312" t="n">
        <v>0.0334</v>
      </c>
      <c r="Q312" t="n">
        <v>90</v>
      </c>
      <c r="R312" t="n">
        <v>0.6133</v>
      </c>
      <c r="S312">
        <f>IMAGE("https://mitra.stanford.edu/kundaje/oak/projects/neuro-variants/variant_position/credible/roussos_2024/variant_figures/roussos_2024.childhood.GLU/rs56147147_count_position.png",4,220,900)</f>
        <v/>
      </c>
      <c r="T312">
        <f>IMAGE("https://mitra.stanford.edu/kundaje/oak/projects/neuro-variants/variant_position/credible/roussos_2024/variant_figures/roussos_2024.childhood.GLU/rs56147147_profile_position.png",4,220,900)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0.0312022202</v>
      </c>
      <c r="G313" t="n">
        <v>0.3156339267602302</v>
      </c>
      <c r="H313" t="n">
        <v>0.0201949817581985</v>
      </c>
      <c r="I313" t="n">
        <v>0.0974168859228184</v>
      </c>
      <c r="J313" t="n">
        <v>0.8675811552844943</v>
      </c>
      <c r="K313" t="n">
        <v>0.0036157566195348</v>
      </c>
      <c r="L313" t="b">
        <v>0</v>
      </c>
      <c r="M313" t="b">
        <v>0</v>
      </c>
      <c r="N313" t="inlineStr">
        <is>
          <t>alt</t>
        </is>
      </c>
      <c r="O313" t="n">
        <v>-40</v>
      </c>
      <c r="P313" t="n">
        <v>0.01201</v>
      </c>
      <c r="Q313" t="n">
        <v>85</v>
      </c>
      <c r="R313" t="n">
        <v>0.1763</v>
      </c>
      <c r="S313">
        <f>IMAGE("https://mitra.stanford.edu/kundaje/oak/projects/neuro-variants/variant_position/credible/roussos_2024/variant_figures/roussos_2024.childhood.GLU/rs55986478_count_position.png",4,220,900)</f>
        <v/>
      </c>
      <c r="T313">
        <f>IMAGE("https://mitra.stanford.edu/kundaje/oak/projects/neuro-variants/variant_position/credible/roussos_2024/variant_figures/roussos_2024.childhood.GLU/rs55986478_profile_position.png",4,220,900)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-0.04697224594</v>
      </c>
      <c r="G314" t="n">
        <v>0.2059129153165606</v>
      </c>
      <c r="H314" t="n">
        <v>0.0164151290754782</v>
      </c>
      <c r="I314" t="n">
        <v>0.1863671677273705</v>
      </c>
      <c r="J314" t="n">
        <v>0.8796388061854182</v>
      </c>
      <c r="K314" t="n">
        <v>0.0030470805938999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0.02155</v>
      </c>
      <c r="Q314" t="n">
        <v>-80</v>
      </c>
      <c r="R314" t="n">
        <v>0.376</v>
      </c>
      <c r="S314">
        <f>IMAGE("https://mitra.stanford.edu/kundaje/oak/projects/neuro-variants/variant_position/credible/roussos_2024/variant_figures/roussos_2024.childhood.GLU/rs55906130_count_position.png",4,220,900)</f>
        <v/>
      </c>
      <c r="T314">
        <f>IMAGE("https://mitra.stanford.edu/kundaje/oak/projects/neuro-variants/variant_position/credible/roussos_2024/variant_figures/roussos_2024.childhood.GLU/rs55906130_profile_position.png",4,220,900)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0.1056840332</v>
      </c>
      <c r="G315" t="n">
        <v>0.038697953014831</v>
      </c>
      <c r="H315" t="n">
        <v>0.021391734224755</v>
      </c>
      <c r="I315" t="n">
        <v>0.0768317995967463</v>
      </c>
      <c r="J315" t="n">
        <v>0.8868482594496585</v>
      </c>
      <c r="K315" t="n">
        <v>0.0027081852521879</v>
      </c>
      <c r="L315" t="b">
        <v>0</v>
      </c>
      <c r="M315" t="b">
        <v>0</v>
      </c>
      <c r="N315" t="inlineStr">
        <is>
          <t>alt</t>
        </is>
      </c>
      <c r="O315" t="n">
        <v>-65</v>
      </c>
      <c r="P315" t="n">
        <v>0.00108</v>
      </c>
      <c r="Q315" t="n">
        <v>-40</v>
      </c>
      <c r="R315" t="n">
        <v>0.03662</v>
      </c>
      <c r="S315">
        <f>IMAGE("https://mitra.stanford.edu/kundaje/oak/projects/neuro-variants/variant_position/credible/roussos_2024/variant_figures/roussos_2024.childhood.GLU/rs11577489_count_position.png",4,220,900)</f>
        <v/>
      </c>
      <c r="T315">
        <f>IMAGE("https://mitra.stanford.edu/kundaje/oak/projects/neuro-variants/variant_position/credible/roussos_2024/variant_figures/roussos_2024.childhood.GLU/rs11577489_profile_position.png",4,220,900)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0.027266723</v>
      </c>
      <c r="G316" t="n">
        <v>0.3121724173923824</v>
      </c>
      <c r="H316" t="n">
        <v>0.0098259535523716</v>
      </c>
      <c r="I316" t="n">
        <v>0.6611640599994414</v>
      </c>
      <c r="J316" t="n">
        <v>0.1741343608023323</v>
      </c>
      <c r="K316" t="n">
        <v>0.168055576608371</v>
      </c>
      <c r="L316" t="b">
        <v>0</v>
      </c>
      <c r="M316" t="b">
        <v>0</v>
      </c>
      <c r="N316" t="inlineStr">
        <is>
          <t>alt</t>
        </is>
      </c>
      <c r="O316" t="n">
        <v>-100</v>
      </c>
      <c r="P316" t="n">
        <v>0.01053</v>
      </c>
      <c r="Q316" t="n">
        <v>-75</v>
      </c>
      <c r="R316" t="n">
        <v>0.157</v>
      </c>
      <c r="S316">
        <f>IMAGE("https://mitra.stanford.edu/kundaje/oak/projects/neuro-variants/variant_position/credible/roussos_2024/variant_figures/roussos_2024.childhood.GLU/rs12135111_count_position.png",4,220,900)</f>
        <v/>
      </c>
      <c r="T316">
        <f>IMAGE("https://mitra.stanford.edu/kundaje/oak/projects/neuro-variants/variant_position/credible/roussos_2024/variant_figures/roussos_2024.childhood.GLU/rs12135111_profile_position.png",4,220,900)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-0.01060310944</v>
      </c>
      <c r="G317" t="n">
        <v>0.6568545696792674</v>
      </c>
      <c r="H317" t="n">
        <v>0.0176717859261336</v>
      </c>
      <c r="I317" t="n">
        <v>0.1479516669758314</v>
      </c>
      <c r="J317" t="n">
        <v>9.684032678457522e-05</v>
      </c>
      <c r="K317" t="n">
        <v>0.9435703696753568</v>
      </c>
      <c r="L317" t="b">
        <v>0</v>
      </c>
      <c r="M317" t="b">
        <v>0</v>
      </c>
      <c r="N317" t="inlineStr">
        <is>
          <t>ref</t>
        </is>
      </c>
      <c r="O317" t="n">
        <v>85</v>
      </c>
      <c r="P317" t="n">
        <v>0.02435</v>
      </c>
      <c r="Q317" t="n">
        <v>95</v>
      </c>
      <c r="R317" t="n">
        <v>0.0581</v>
      </c>
      <c r="S317">
        <f>IMAGE("https://mitra.stanford.edu/kundaje/oak/projects/neuro-variants/variant_position/credible/roussos_2024/variant_figures/roussos_2024.childhood.GLU/rs6674331_count_position.png",4,220,900)</f>
        <v/>
      </c>
      <c r="T317">
        <f>IMAGE("https://mitra.stanford.edu/kundaje/oak/projects/neuro-variants/variant_position/credible/roussos_2024/variant_figures/roussos_2024.childhood.GLU/rs6674331_profile_position.png",4,220,900)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-0.000434146732</v>
      </c>
      <c r="G318" t="n">
        <v>0.8326755335043562</v>
      </c>
      <c r="H318" t="n">
        <v>0.0443536799635324</v>
      </c>
      <c r="I318" t="n">
        <v>0.004425671595638</v>
      </c>
      <c r="J318" t="n">
        <v>0.2948983691676883</v>
      </c>
      <c r="K318" t="n">
        <v>0.0995438061105097</v>
      </c>
      <c r="L318" t="b">
        <v>1</v>
      </c>
      <c r="M318" t="b">
        <v>1</v>
      </c>
      <c r="N318" t="inlineStr">
        <is>
          <t>ref</t>
        </is>
      </c>
      <c r="O318" t="n">
        <v>45</v>
      </c>
      <c r="P318" t="n">
        <v>0.02661</v>
      </c>
      <c r="Q318" t="n">
        <v>100</v>
      </c>
      <c r="R318" t="n">
        <v>0.05823</v>
      </c>
      <c r="S318">
        <f>IMAGE("https://mitra.stanford.edu/kundaje/oak/projects/neuro-variants/variant_position/credible/roussos_2024/variant_figures/roussos_2024.childhood.GLU/rs202196017_count_position.png",4,220,900)</f>
        <v/>
      </c>
      <c r="T318">
        <f>IMAGE("https://mitra.stanford.edu/kundaje/oak/projects/neuro-variants/variant_position/credible/roussos_2024/variant_figures/roussos_2024.childhood.GLU/rs202196017_profile_position.png",4,220,900)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-0.035943763</v>
      </c>
      <c r="G319" t="n">
        <v>0.2891446053450138</v>
      </c>
      <c r="H319" t="n">
        <v>0.0103884506457868</v>
      </c>
      <c r="I319" t="n">
        <v>0.6186995919757645</v>
      </c>
      <c r="J319" t="n">
        <v>0.0092935807225936</v>
      </c>
      <c r="K319" t="n">
        <v>0.601288702042121</v>
      </c>
      <c r="L319" t="b">
        <v>0</v>
      </c>
      <c r="M319" t="b">
        <v>0</v>
      </c>
      <c r="N319" t="inlineStr">
        <is>
          <t>ref</t>
        </is>
      </c>
      <c r="O319" t="n">
        <v>-65</v>
      </c>
      <c r="P319" t="n">
        <v>0.05215</v>
      </c>
      <c r="Q319" t="n">
        <v>80</v>
      </c>
      <c r="R319" t="n">
        <v>0.2256</v>
      </c>
      <c r="S319">
        <f>IMAGE("https://mitra.stanford.edu/kundaje/oak/projects/neuro-variants/variant_position/credible/roussos_2024/variant_figures/roussos_2024.childhood.GLU/rs12120123_count_position.png",4,220,900)</f>
        <v/>
      </c>
      <c r="T319">
        <f>IMAGE("https://mitra.stanford.edu/kundaje/oak/projects/neuro-variants/variant_position/credible/roussos_2024/variant_figures/roussos_2024.childhood.GLU/rs12120123_profile_position.png",4,220,900)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-0.0397693306</v>
      </c>
      <c r="G320" t="n">
        <v>0.2611034950209454</v>
      </c>
      <c r="H320" t="n">
        <v>0.0116872977478442</v>
      </c>
      <c r="I320" t="n">
        <v>0.4870654959204042</v>
      </c>
      <c r="J320" t="n">
        <v>0.008122224854996999</v>
      </c>
      <c r="K320" t="n">
        <v>0.6269976955063661</v>
      </c>
      <c r="L320" t="b">
        <v>0</v>
      </c>
      <c r="M320" t="b">
        <v>0</v>
      </c>
      <c r="N320" t="inlineStr">
        <is>
          <t>ref</t>
        </is>
      </c>
      <c r="O320" t="n">
        <v>5</v>
      </c>
      <c r="P320" t="n">
        <v>1.526e-05</v>
      </c>
      <c r="Q320" t="n">
        <v>-15</v>
      </c>
      <c r="R320" t="n">
        <v>0.01395</v>
      </c>
      <c r="S320">
        <f>IMAGE("https://mitra.stanford.edu/kundaje/oak/projects/neuro-variants/variant_position/credible/roussos_2024/variant_figures/roussos_2024.childhood.GLU/rs12097041_count_position.png",4,220,900)</f>
        <v/>
      </c>
      <c r="T320">
        <f>IMAGE("https://mitra.stanford.edu/kundaje/oak/projects/neuro-variants/variant_position/credible/roussos_2024/variant_figures/roussos_2024.childhood.GLU/rs12097041_profile_position.png",4,220,900)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0.0411032402</v>
      </c>
      <c r="G321" t="n">
        <v>0.1825487775884029</v>
      </c>
      <c r="H321" t="n">
        <v>0.0134829875942154</v>
      </c>
      <c r="I321" t="n">
        <v>0.3366049490398053</v>
      </c>
      <c r="J321" t="n">
        <v>0.1584936178103783</v>
      </c>
      <c r="K321" t="n">
        <v>0.1878168089846306</v>
      </c>
      <c r="L321" t="b">
        <v>0</v>
      </c>
      <c r="M321" t="b">
        <v>0</v>
      </c>
      <c r="N321" t="inlineStr">
        <is>
          <t>alt</t>
        </is>
      </c>
      <c r="O321" t="n">
        <v>85</v>
      </c>
      <c r="P321" t="n">
        <v>0.006416</v>
      </c>
      <c r="Q321" t="n">
        <v>75</v>
      </c>
      <c r="R321" t="n">
        <v>0.2031</v>
      </c>
      <c r="S321">
        <f>IMAGE("https://mitra.stanford.edu/kundaje/oak/projects/neuro-variants/variant_position/credible/roussos_2024/variant_figures/roussos_2024.childhood.GLU/rs12118625_count_position.png",4,220,900)</f>
        <v/>
      </c>
      <c r="T321">
        <f>IMAGE("https://mitra.stanford.edu/kundaje/oak/projects/neuro-variants/variant_position/credible/roussos_2024/variant_figures/roussos_2024.childhood.GLU/rs12118625_profile_position.png",4,220,900)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0.0336459412</v>
      </c>
      <c r="G322" t="n">
        <v>0.2855144388552876</v>
      </c>
      <c r="H322" t="n">
        <v>0.011533017075875</v>
      </c>
      <c r="I322" t="n">
        <v>0.4817288094079781</v>
      </c>
      <c r="J322" t="n">
        <v>0.2710941926710416</v>
      </c>
      <c r="K322" t="n">
        <v>0.1095660767778995</v>
      </c>
      <c r="L322" t="b">
        <v>0</v>
      </c>
      <c r="M322" t="b">
        <v>0</v>
      </c>
      <c r="N322" t="inlineStr">
        <is>
          <t>alt</t>
        </is>
      </c>
      <c r="O322" t="n">
        <v>-85</v>
      </c>
      <c r="P322" t="n">
        <v>0.002846</v>
      </c>
      <c r="Q322" t="n">
        <v>-45</v>
      </c>
      <c r="R322" t="n">
        <v>0.02426</v>
      </c>
      <c r="S322">
        <f>IMAGE("https://mitra.stanford.edu/kundaje/oak/projects/neuro-variants/variant_position/credible/roussos_2024/variant_figures/roussos_2024.childhood.GLU/rs10913758_count_position.png",4,220,900)</f>
        <v/>
      </c>
      <c r="T322">
        <f>IMAGE("https://mitra.stanford.edu/kundaje/oak/projects/neuro-variants/variant_position/credible/roussos_2024/variant_figures/roussos_2024.childhood.GLU/rs10913758_profile_position.png",4,220,900)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-0.1123835112</v>
      </c>
      <c r="G323" t="n">
        <v>0.0440207163072505</v>
      </c>
      <c r="H323" t="n">
        <v>0.0153664885149001</v>
      </c>
      <c r="I323" t="n">
        <v>0.2476986602087482</v>
      </c>
      <c r="J323" t="n">
        <v>0.0018863259398147</v>
      </c>
      <c r="K323" t="n">
        <v>0.7781906425853174</v>
      </c>
      <c r="L323" t="b">
        <v>0</v>
      </c>
      <c r="M323" t="b">
        <v>0</v>
      </c>
      <c r="N323" t="inlineStr">
        <is>
          <t>ref</t>
        </is>
      </c>
      <c r="O323" t="n">
        <v>-100</v>
      </c>
      <c r="P323" t="n">
        <v>0.003296</v>
      </c>
      <c r="Q323" t="n">
        <v>85</v>
      </c>
      <c r="R323" t="n">
        <v>0.002441</v>
      </c>
      <c r="S323">
        <f>IMAGE("https://mitra.stanford.edu/kundaje/oak/projects/neuro-variants/variant_position/credible/roussos_2024/variant_figures/roussos_2024.childhood.GLU/rs36144856_count_position.png",4,220,900)</f>
        <v/>
      </c>
      <c r="T323">
        <f>IMAGE("https://mitra.stanford.edu/kundaje/oak/projects/neuro-variants/variant_position/credible/roussos_2024/variant_figures/roussos_2024.childhood.GLU/rs36144856_profile_position.png",4,220,900)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0.02360087996</v>
      </c>
      <c r="G324" t="n">
        <v>0.3984719758129993</v>
      </c>
      <c r="H324" t="n">
        <v>0.0170614143136058</v>
      </c>
      <c r="I324" t="n">
        <v>0.1675431063371198</v>
      </c>
      <c r="J324" t="n">
        <v>0.0060061606931294</v>
      </c>
      <c r="K324" t="n">
        <v>0.6545673361808882</v>
      </c>
      <c r="L324" t="b">
        <v>0</v>
      </c>
      <c r="M324" t="b">
        <v>0</v>
      </c>
      <c r="N324" t="inlineStr">
        <is>
          <t>alt</t>
        </is>
      </c>
      <c r="O324" t="n">
        <v>-75</v>
      </c>
      <c r="P324" t="n">
        <v>0.0063</v>
      </c>
      <c r="Q324" t="n">
        <v>-100</v>
      </c>
      <c r="R324" t="n">
        <v>0.02515</v>
      </c>
      <c r="S324">
        <f>IMAGE("https://mitra.stanford.edu/kundaje/oak/projects/neuro-variants/variant_position/credible/roussos_2024/variant_figures/roussos_2024.childhood.GLU/rs12131475_count_position.png",4,220,900)</f>
        <v/>
      </c>
      <c r="T324">
        <f>IMAGE("https://mitra.stanford.edu/kundaje/oak/projects/neuro-variants/variant_position/credible/roussos_2024/variant_figures/roussos_2024.childhood.GLU/rs12131475_profile_position.png",4,220,900)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0.11557999</v>
      </c>
      <c r="G325" t="n">
        <v>0.032645470166977</v>
      </c>
      <c r="H325" t="n">
        <v>0.0196534956954804</v>
      </c>
      <c r="I325" t="n">
        <v>0.1071185059219674</v>
      </c>
      <c r="J325" t="n">
        <v>0.0271472282031998</v>
      </c>
      <c r="K325" t="n">
        <v>0.4473433300938776</v>
      </c>
      <c r="L325" t="b">
        <v>0</v>
      </c>
      <c r="M325" t="b">
        <v>0</v>
      </c>
      <c r="N325" t="inlineStr">
        <is>
          <t>alt</t>
        </is>
      </c>
      <c r="O325" t="n">
        <v>95</v>
      </c>
      <c r="P325" t="n">
        <v>0.01335</v>
      </c>
      <c r="Q325" t="n">
        <v>95</v>
      </c>
      <c r="R325" t="n">
        <v>0.3132</v>
      </c>
      <c r="S325">
        <f>IMAGE("https://mitra.stanford.edu/kundaje/oak/projects/neuro-variants/variant_position/credible/roussos_2024/variant_figures/roussos_2024.childhood.GLU/rs1928006_count_position.png",4,220,900)</f>
        <v/>
      </c>
      <c r="T325">
        <f>IMAGE("https://mitra.stanford.edu/kundaje/oak/projects/neuro-variants/variant_position/credible/roussos_2024/variant_figures/roussos_2024.childhood.GLU/rs1928006_profile_position.png",4,220,900)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0.0412104234</v>
      </c>
      <c r="G326" t="n">
        <v>0.2228530785898304</v>
      </c>
      <c r="H326" t="n">
        <v>0.0096329419477425</v>
      </c>
      <c r="I326" t="n">
        <v>0.6981708655685029</v>
      </c>
      <c r="J326" t="n">
        <v>0.0107513367055744</v>
      </c>
      <c r="K326" t="n">
        <v>0.5759301462804455</v>
      </c>
      <c r="L326" t="b">
        <v>0</v>
      </c>
      <c r="M326" t="b">
        <v>0</v>
      </c>
      <c r="N326" t="inlineStr">
        <is>
          <t>alt</t>
        </is>
      </c>
      <c r="O326" t="n">
        <v>-75</v>
      </c>
      <c r="P326" t="n">
        <v>0.0202</v>
      </c>
      <c r="Q326" t="n">
        <v>-35</v>
      </c>
      <c r="R326" t="n">
        <v>0.0696</v>
      </c>
      <c r="S326">
        <f>IMAGE("https://mitra.stanford.edu/kundaje/oak/projects/neuro-variants/variant_position/credible/roussos_2024/variant_figures/roussos_2024.childhood.GLU/rs36100834_count_position.png",4,220,900)</f>
        <v/>
      </c>
      <c r="T326">
        <f>IMAGE("https://mitra.stanford.edu/kundaje/oak/projects/neuro-variants/variant_position/credible/roussos_2024/variant_figures/roussos_2024.childhood.GLU/rs36100834_profile_position.png",4,220,900)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-0.0576401156</v>
      </c>
      <c r="G327" t="n">
        <v>0.1733359205750454</v>
      </c>
      <c r="H327" t="n">
        <v>0.0294479554849203</v>
      </c>
      <c r="I327" t="n">
        <v>0.0229188203080213</v>
      </c>
      <c r="J327" t="n">
        <v>0.0087403546004306</v>
      </c>
      <c r="K327" t="n">
        <v>0.6059576005485755</v>
      </c>
      <c r="L327" t="b">
        <v>0</v>
      </c>
      <c r="M327" t="b">
        <v>0</v>
      </c>
      <c r="N327" t="inlineStr">
        <is>
          <t>ref</t>
        </is>
      </c>
      <c r="O327" t="n">
        <v>-100</v>
      </c>
      <c r="P327" t="n">
        <v>0.001099</v>
      </c>
      <c r="Q327" t="n">
        <v>65</v>
      </c>
      <c r="R327" t="n">
        <v>0.04877</v>
      </c>
      <c r="S327">
        <f>IMAGE("https://mitra.stanford.edu/kundaje/oak/projects/neuro-variants/variant_position/credible/roussos_2024/variant_figures/roussos_2024.childhood.GLU/rs61826032_count_position.png",4,220,900)</f>
        <v/>
      </c>
      <c r="T327">
        <f>IMAGE("https://mitra.stanford.edu/kundaje/oak/projects/neuro-variants/variant_position/credible/roussos_2024/variant_figures/roussos_2024.childhood.GLU/rs61826032_profile_position.png",4,220,900)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0.0539115154</v>
      </c>
      <c r="G328" t="n">
        <v>0.1537492368137768</v>
      </c>
      <c r="H328" t="n">
        <v>0.0237987496200982</v>
      </c>
      <c r="I328" t="n">
        <v>0.0526511262465777</v>
      </c>
      <c r="J328" t="n">
        <v>0.07957390256214771</v>
      </c>
      <c r="K328" t="n">
        <v>0.2888348129079485</v>
      </c>
      <c r="L328" t="b">
        <v>0</v>
      </c>
      <c r="M328" t="b">
        <v>0</v>
      </c>
      <c r="N328" t="inlineStr">
        <is>
          <t>alt</t>
        </is>
      </c>
      <c r="O328" t="n">
        <v>-50</v>
      </c>
      <c r="P328" t="n">
        <v>0.002026</v>
      </c>
      <c r="Q328" t="n">
        <v>-50</v>
      </c>
      <c r="R328" t="n">
        <v>0.04233</v>
      </c>
      <c r="S328">
        <f>IMAGE("https://mitra.stanford.edu/kundaje/oak/projects/neuro-variants/variant_position/credible/roussos_2024/variant_figures/roussos_2024.childhood.GLU/rs35954891_count_position.png",4,220,900)</f>
        <v/>
      </c>
      <c r="T328">
        <f>IMAGE("https://mitra.stanford.edu/kundaje/oak/projects/neuro-variants/variant_position/credible/roussos_2024/variant_figures/roussos_2024.childhood.GLU/rs35954891_profile_position.png",4,220,900)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0.0028271676599999</v>
      </c>
      <c r="G329" t="n">
        <v>0.8657652565367259</v>
      </c>
      <c r="H329" t="n">
        <v>0.0193754663526728</v>
      </c>
      <c r="I329" t="n">
        <v>0.1119727104883639</v>
      </c>
      <c r="J329" t="n">
        <v>0.0461578085240091</v>
      </c>
      <c r="K329" t="n">
        <v>0.3687046238823634</v>
      </c>
      <c r="L329" t="b">
        <v>0</v>
      </c>
      <c r="M329" t="b">
        <v>0</v>
      </c>
      <c r="N329" t="inlineStr">
        <is>
          <t>alt</t>
        </is>
      </c>
      <c r="O329" t="n">
        <v>-60</v>
      </c>
      <c r="P329" t="n">
        <v>0.004578</v>
      </c>
      <c r="Q329" t="n">
        <v>55</v>
      </c>
      <c r="R329" t="n">
        <v>0.08210000000000001</v>
      </c>
      <c r="S329">
        <f>IMAGE("https://mitra.stanford.edu/kundaje/oak/projects/neuro-variants/variant_position/credible/roussos_2024/variant_figures/roussos_2024.childhood.GLU/rs10913808_count_position.png",4,220,900)</f>
        <v/>
      </c>
      <c r="T329">
        <f>IMAGE("https://mitra.stanford.edu/kundaje/oak/projects/neuro-variants/variant_position/credible/roussos_2024/variant_figures/roussos_2024.childhood.GLU/rs10913808_profile_position.png",4,220,900)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-0.18711236</v>
      </c>
      <c r="G330" t="n">
        <v>0.0105058286033597</v>
      </c>
      <c r="H330" t="n">
        <v>0.0254880004933994</v>
      </c>
      <c r="I330" t="n">
        <v>0.0443213639023129</v>
      </c>
      <c r="J330" t="n">
        <v>0.0874138481667301</v>
      </c>
      <c r="K330" t="n">
        <v>0.2659689072833066</v>
      </c>
      <c r="L330" t="b">
        <v>1</v>
      </c>
      <c r="M330" t="b">
        <v>0</v>
      </c>
      <c r="N330" t="inlineStr">
        <is>
          <t>ref</t>
        </is>
      </c>
      <c r="O330" t="n">
        <v>-60</v>
      </c>
      <c r="P330" t="n">
        <v>0.006596</v>
      </c>
      <c r="Q330" t="n">
        <v>-90</v>
      </c>
      <c r="R330" t="n">
        <v>0.1565</v>
      </c>
      <c r="S330">
        <f>IMAGE("https://mitra.stanford.edu/kundaje/oak/projects/neuro-variants/variant_position/credible/roussos_2024/variant_figures/roussos_2024.childhood.GLU/rs12135209_count_position.png",4,220,900)</f>
        <v/>
      </c>
      <c r="T330">
        <f>IMAGE("https://mitra.stanford.edu/kundaje/oak/projects/neuro-variants/variant_position/credible/roussos_2024/variant_figures/roussos_2024.childhood.GLU/rs12135209_profile_position.png",4,220,900)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-0.0073801819399999</v>
      </c>
      <c r="G331" t="n">
        <v>0.7443394123906818</v>
      </c>
      <c r="H331" t="n">
        <v>0.009851310663571301</v>
      </c>
      <c r="I331" t="n">
        <v>0.6817381442346746</v>
      </c>
      <c r="J331" t="n">
        <v>0.3672483954382025</v>
      </c>
      <c r="K331" t="n">
        <v>0.0737674737408569</v>
      </c>
      <c r="L331" t="b">
        <v>0</v>
      </c>
      <c r="M331" t="b">
        <v>0</v>
      </c>
      <c r="N331" t="inlineStr">
        <is>
          <t>ref</t>
        </is>
      </c>
      <c r="O331" t="n">
        <v>75</v>
      </c>
      <c r="P331" t="n">
        <v>0.002592</v>
      </c>
      <c r="Q331" t="n">
        <v>-65</v>
      </c>
      <c r="R331" t="n">
        <v>0.08799999999999999</v>
      </c>
      <c r="S331">
        <f>IMAGE("https://mitra.stanford.edu/kundaje/oak/projects/neuro-variants/variant_position/credible/roussos_2024/variant_figures/roussos_2024.childhood.GLU/rs296534_count_position.png",4,220,900)</f>
        <v/>
      </c>
      <c r="T331">
        <f>IMAGE("https://mitra.stanford.edu/kundaje/oak/projects/neuro-variants/variant_position/credible/roussos_2024/variant_figures/roussos_2024.childhood.GLU/rs296534_profile_position.png",4,220,900)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-0.0022282622099999</v>
      </c>
      <c r="G332" t="n">
        <v>0.7763191657035708</v>
      </c>
      <c r="H332" t="n">
        <v>0.0081529523971785</v>
      </c>
      <c r="I332" t="n">
        <v>0.8649628286797887</v>
      </c>
      <c r="J332" t="n">
        <v>0.0196894928245438</v>
      </c>
      <c r="K332" t="n">
        <v>0.4915135431196395</v>
      </c>
      <c r="L332" t="b">
        <v>0</v>
      </c>
      <c r="M332" t="b">
        <v>0</v>
      </c>
      <c r="N332" t="inlineStr">
        <is>
          <t>ref</t>
        </is>
      </c>
      <c r="O332" t="n">
        <v>-100</v>
      </c>
      <c r="P332" t="n">
        <v>0.03105</v>
      </c>
      <c r="Q332" t="n">
        <v>-100</v>
      </c>
      <c r="R332" t="n">
        <v>0.1797</v>
      </c>
      <c r="S332">
        <f>IMAGE("https://mitra.stanford.edu/kundaje/oak/projects/neuro-variants/variant_position/credible/roussos_2024/variant_figures/roussos_2024.childhood.GLU/rs11579874_count_position.png",4,220,900)</f>
        <v/>
      </c>
      <c r="T332">
        <f>IMAGE("https://mitra.stanford.edu/kundaje/oak/projects/neuro-variants/variant_position/credible/roussos_2024/variant_figures/roussos_2024.childhood.GLU/rs11579874_profile_position.png",4,220,900)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0.0400520644</v>
      </c>
      <c r="G333" t="n">
        <v>0.2334773247319909</v>
      </c>
      <c r="H333" t="n">
        <v>0.0212612503593073</v>
      </c>
      <c r="I333" t="n">
        <v>0.0804577713611781</v>
      </c>
      <c r="J333" t="n">
        <v>0.1761484335562034</v>
      </c>
      <c r="K333" t="n">
        <v>0.1649317402045788</v>
      </c>
      <c r="L333" t="b">
        <v>0</v>
      </c>
      <c r="M333" t="b">
        <v>0</v>
      </c>
      <c r="N333" t="inlineStr">
        <is>
          <t>alt</t>
        </is>
      </c>
      <c r="O333" t="n">
        <v>10</v>
      </c>
      <c r="P333" t="n">
        <v>0.0001965</v>
      </c>
      <c r="Q333" t="n">
        <v>65</v>
      </c>
      <c r="R333" t="n">
        <v>0.01343</v>
      </c>
      <c r="S333">
        <f>IMAGE("https://mitra.stanford.edu/kundaje/oak/projects/neuro-variants/variant_position/credible/roussos_2024/variant_figures/roussos_2024.childhood.GLU/rs4915471_count_position.png",4,220,900)</f>
        <v/>
      </c>
      <c r="T333">
        <f>IMAGE("https://mitra.stanford.edu/kundaje/oak/projects/neuro-variants/variant_position/credible/roussos_2024/variant_figures/roussos_2024.childhood.GLU/rs4915471_profile_position.png",4,220,900)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0.0315275668</v>
      </c>
      <c r="G334" t="n">
        <v>0.307164170169034</v>
      </c>
      <c r="H334" t="n">
        <v>0.0092150541072366</v>
      </c>
      <c r="I334" t="n">
        <v>0.7548935084167848</v>
      </c>
      <c r="J334" t="n">
        <v>0.7043794492463969</v>
      </c>
      <c r="K334" t="n">
        <v>0.0144968859434166</v>
      </c>
      <c r="L334" t="b">
        <v>0</v>
      </c>
      <c r="M334" t="b">
        <v>0</v>
      </c>
      <c r="N334" t="inlineStr">
        <is>
          <t>alt</t>
        </is>
      </c>
      <c r="O334" t="n">
        <v>95</v>
      </c>
      <c r="P334" t="n">
        <v>0.252</v>
      </c>
      <c r="Q334" t="n">
        <v>100</v>
      </c>
      <c r="R334" t="n">
        <v>0.455</v>
      </c>
      <c r="S334">
        <f>IMAGE("https://mitra.stanford.edu/kundaje/oak/projects/neuro-variants/variant_position/credible/roussos_2024/variant_figures/roussos_2024.childhood.GLU/rs148277892_count_position.png",4,220,900)</f>
        <v/>
      </c>
      <c r="T334">
        <f>IMAGE("https://mitra.stanford.edu/kundaje/oak/projects/neuro-variants/variant_position/credible/roussos_2024/variant_figures/roussos_2024.childhood.GLU/rs148277892_profile_position.png",4,220,900)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0.0412451028</v>
      </c>
      <c r="G335" t="n">
        <v>0.233076311832573</v>
      </c>
      <c r="H335" t="n">
        <v>0.0093711496092243</v>
      </c>
      <c r="I335" t="n">
        <v>0.7308215271097762</v>
      </c>
      <c r="J335" t="n">
        <v>0.3643771827706635</v>
      </c>
      <c r="K335" t="n">
        <v>0.07415126236909921</v>
      </c>
      <c r="L335" t="b">
        <v>0</v>
      </c>
      <c r="M335" t="b">
        <v>0</v>
      </c>
      <c r="N335" t="inlineStr">
        <is>
          <t>alt</t>
        </is>
      </c>
      <c r="O335" t="n">
        <v>-40</v>
      </c>
      <c r="P335" t="n">
        <v>0.001995</v>
      </c>
      <c r="Q335" t="n">
        <v>5</v>
      </c>
      <c r="R335" t="n">
        <v>0.003418</v>
      </c>
      <c r="S335">
        <f>IMAGE("https://mitra.stanford.edu/kundaje/oak/projects/neuro-variants/variant_position/credible/roussos_2024/variant_figures/roussos_2024.childhood.GLU/rs296563_count_position.png",4,220,900)</f>
        <v/>
      </c>
      <c r="T335">
        <f>IMAGE("https://mitra.stanford.edu/kundaje/oak/projects/neuro-variants/variant_position/credible/roussos_2024/variant_figures/roussos_2024.childhood.GLU/rs296563_profile_position.png",4,220,900)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-0.0399273414</v>
      </c>
      <c r="G336" t="n">
        <v>0.2456130948746251</v>
      </c>
      <c r="H336" t="n">
        <v>0.0103721008955617</v>
      </c>
      <c r="I336" t="n">
        <v>0.6222848688276841</v>
      </c>
      <c r="J336" t="n">
        <v>0.3829890694056682</v>
      </c>
      <c r="K336" t="n">
        <v>0.0692653907151629</v>
      </c>
      <c r="L336" t="b">
        <v>0</v>
      </c>
      <c r="M336" t="b">
        <v>0</v>
      </c>
      <c r="N336" t="inlineStr">
        <is>
          <t>ref</t>
        </is>
      </c>
      <c r="O336" t="n">
        <v>55</v>
      </c>
      <c r="P336" t="n">
        <v>0.003708</v>
      </c>
      <c r="Q336" t="n">
        <v>-70</v>
      </c>
      <c r="R336" t="n">
        <v>0.05377</v>
      </c>
      <c r="S336">
        <f>IMAGE("https://mitra.stanford.edu/kundaje/oak/projects/neuro-variants/variant_position/credible/roussos_2024/variant_figures/roussos_2024.childhood.GLU/rs2297909_count_position.png",4,220,900)</f>
        <v/>
      </c>
      <c r="T336">
        <f>IMAGE("https://mitra.stanford.edu/kundaje/oak/projects/neuro-variants/variant_position/credible/roussos_2024/variant_figures/roussos_2024.childhood.GLU/rs2297909_profile_position.png",4,220,900)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0.00772946456</v>
      </c>
      <c r="G337" t="n">
        <v>0.6235205822755369</v>
      </c>
      <c r="H337" t="n">
        <v>0.0147105176217587</v>
      </c>
      <c r="I337" t="n">
        <v>0.2638822019150261</v>
      </c>
      <c r="J337" t="n">
        <v>0.1642824028763637</v>
      </c>
      <c r="K337" t="n">
        <v>0.1760078490918969</v>
      </c>
      <c r="L337" t="b">
        <v>0</v>
      </c>
      <c r="M337" t="b">
        <v>0</v>
      </c>
      <c r="N337" t="inlineStr">
        <is>
          <t>alt</t>
        </is>
      </c>
      <c r="O337" t="n">
        <v>-85</v>
      </c>
      <c r="P337" t="n">
        <v>0.02658</v>
      </c>
      <c r="Q337" t="n">
        <v>-75</v>
      </c>
      <c r="R337" t="n">
        <v>0.1826</v>
      </c>
      <c r="S337">
        <f>IMAGE("https://mitra.stanford.edu/kundaje/oak/projects/neuro-variants/variant_position/credible/roussos_2024/variant_figures/roussos_2024.childhood.GLU/rs59682551_count_position.png",4,220,900)</f>
        <v/>
      </c>
      <c r="T337">
        <f>IMAGE("https://mitra.stanford.edu/kundaje/oak/projects/neuro-variants/variant_position/credible/roussos_2024/variant_figures/roussos_2024.childhood.GLU/rs59682551_profile_position.png",4,220,900)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-0.0471534916</v>
      </c>
      <c r="G338" t="n">
        <v>0.1996038509030702</v>
      </c>
      <c r="H338" t="n">
        <v>0.010991996383762</v>
      </c>
      <c r="I338" t="n">
        <v>0.5474686803706583</v>
      </c>
      <c r="J338" t="n">
        <v>0.09998248632387929</v>
      </c>
      <c r="K338" t="n">
        <v>0.2482990701159752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0.006676</v>
      </c>
      <c r="Q338" t="n">
        <v>-20</v>
      </c>
      <c r="R338" t="n">
        <v>0.0459</v>
      </c>
      <c r="S338">
        <f>IMAGE("https://mitra.stanford.edu/kundaje/oak/projects/neuro-variants/variant_position/credible/roussos_2024/variant_figures/roussos_2024.childhood.GLU/rs12140420_count_position.png",4,220,900)</f>
        <v/>
      </c>
      <c r="T338">
        <f>IMAGE("https://mitra.stanford.edu/kundaje/oak/projects/neuro-variants/variant_position/credible/roussos_2024/variant_figures/roussos_2024.childhood.GLU/rs12140420_profile_position.png",4,220,900)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0.24759226</v>
      </c>
      <c r="G339" t="n">
        <v>0.0042535083035866</v>
      </c>
      <c r="H339" t="n">
        <v>0.0328957850102579</v>
      </c>
      <c r="I339" t="n">
        <v>0.0150084694486774</v>
      </c>
      <c r="J339" t="n">
        <v>0.1903056651591168</v>
      </c>
      <c r="K339" t="n">
        <v>0.1554766408908738</v>
      </c>
      <c r="L339" t="b">
        <v>1</v>
      </c>
      <c r="M339" t="b">
        <v>1</v>
      </c>
      <c r="N339" t="inlineStr">
        <is>
          <t>alt</t>
        </is>
      </c>
      <c r="O339" t="n">
        <v>30</v>
      </c>
      <c r="P339" t="n">
        <v>0.00641</v>
      </c>
      <c r="Q339" t="n">
        <v>70</v>
      </c>
      <c r="R339" t="n">
        <v>0.09485</v>
      </c>
      <c r="S339">
        <f>IMAGE("https://mitra.stanford.edu/kundaje/oak/projects/neuro-variants/variant_position/credible/roussos_2024/variant_figures/roussos_2024.childhood.GLU/rs10920084_count_position.png",4,220,900)</f>
        <v/>
      </c>
      <c r="T339">
        <f>IMAGE("https://mitra.stanford.edu/kundaje/oak/projects/neuro-variants/variant_position/credible/roussos_2024/variant_figures/roussos_2024.childhood.GLU/rs10920084_profile_position.png",4,220,900)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0.0003497683999999</v>
      </c>
      <c r="G340" t="n">
        <v>0.6312371424240265</v>
      </c>
      <c r="H340" t="n">
        <v>0.009354921767233</v>
      </c>
      <c r="I340" t="n">
        <v>0.6881743633149675</v>
      </c>
      <c r="J340" t="n">
        <v>0.1179082489414527</v>
      </c>
      <c r="K340" t="n">
        <v>0.2211999353254981</v>
      </c>
      <c r="L340" t="b">
        <v>0</v>
      </c>
      <c r="M340" t="b">
        <v>0</v>
      </c>
      <c r="N340" t="inlineStr">
        <is>
          <t>alt</t>
        </is>
      </c>
      <c r="O340" t="n">
        <v>20</v>
      </c>
      <c r="P340" t="n">
        <v>0.002068</v>
      </c>
      <c r="Q340" t="n">
        <v>-75</v>
      </c>
      <c r="R340" t="n">
        <v>0.04883</v>
      </c>
      <c r="S340">
        <f>IMAGE("https://mitra.stanford.edu/kundaje/oak/projects/neuro-variants/variant_position/credible/roussos_2024/variant_figures/roussos_2024.childhood.GLU/rs55757739_count_position.png",4,220,900)</f>
        <v/>
      </c>
      <c r="T340">
        <f>IMAGE("https://mitra.stanford.edu/kundaje/oak/projects/neuro-variants/variant_position/credible/roussos_2024/variant_figures/roussos_2024.childhood.GLU/rs55757739_profile_position.png",4,220,900)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-0.130910537</v>
      </c>
      <c r="G341" t="n">
        <v>0.0274255524852463</v>
      </c>
      <c r="H341" t="n">
        <v>0.0251029404655146</v>
      </c>
      <c r="I341" t="n">
        <v>0.0499680034645494</v>
      </c>
      <c r="J341" t="n">
        <v>0.1615585111314864</v>
      </c>
      <c r="K341" t="n">
        <v>0.1788550965128227</v>
      </c>
      <c r="L341" t="b">
        <v>0</v>
      </c>
      <c r="M341" t="b">
        <v>0</v>
      </c>
      <c r="N341" t="inlineStr">
        <is>
          <t>ref</t>
        </is>
      </c>
      <c r="O341" t="n">
        <v>-15</v>
      </c>
      <c r="P341" t="n">
        <v>0.001606</v>
      </c>
      <c r="Q341" t="n">
        <v>15</v>
      </c>
      <c r="R341" t="n">
        <v>0.01352</v>
      </c>
      <c r="S341">
        <f>IMAGE("https://mitra.stanford.edu/kundaje/oak/projects/neuro-variants/variant_position/credible/roussos_2024/variant_figures/roussos_2024.childhood.GLU/rs12122721_count_position.png",4,220,900)</f>
        <v/>
      </c>
      <c r="T341">
        <f>IMAGE("https://mitra.stanford.edu/kundaje/oak/projects/neuro-variants/variant_position/credible/roussos_2024/variant_figures/roussos_2024.childhood.GLU/rs12122721_profile_position.png",4,220,900)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0.159371726</v>
      </c>
      <c r="G342" t="n">
        <v>0.0146127928066877</v>
      </c>
      <c r="H342" t="n">
        <v>0.0303565622917762</v>
      </c>
      <c r="I342" t="n">
        <v>0.0208147937488149</v>
      </c>
      <c r="J342" t="n">
        <v>0.6783036459352818</v>
      </c>
      <c r="K342" t="n">
        <v>0.0172936284010813</v>
      </c>
      <c r="L342" t="b">
        <v>1</v>
      </c>
      <c r="M342" t="b">
        <v>0</v>
      </c>
      <c r="N342" t="inlineStr">
        <is>
          <t>alt</t>
        </is>
      </c>
      <c r="O342" t="n">
        <v>100</v>
      </c>
      <c r="P342" t="n">
        <v>0.00708</v>
      </c>
      <c r="Q342" t="n">
        <v>25</v>
      </c>
      <c r="R342" t="n">
        <v>0.02734</v>
      </c>
      <c r="S342">
        <f>IMAGE("https://mitra.stanford.edu/kundaje/oak/projects/neuro-variants/variant_position/credible/roussos_2024/variant_figures/roussos_2024.childhood.GLU/rs6701496_count_position.png",4,220,900)</f>
        <v/>
      </c>
      <c r="T342">
        <f>IMAGE("https://mitra.stanford.edu/kundaje/oak/projects/neuro-variants/variant_position/credible/roussos_2024/variant_figures/roussos_2024.childhood.GLU/rs6701496_profile_position.png",4,220,900)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0.0709992624</v>
      </c>
      <c r="G343" t="n">
        <v>0.0960211621708295</v>
      </c>
      <c r="H343" t="n">
        <v>0.0155925024910623</v>
      </c>
      <c r="I343" t="n">
        <v>0.2322363014906531</v>
      </c>
      <c r="J343" t="n">
        <v>0.7140130013289789</v>
      </c>
      <c r="K343" t="n">
        <v>0.0135910331644849</v>
      </c>
      <c r="L343" t="b">
        <v>0</v>
      </c>
      <c r="M343" t="b">
        <v>0</v>
      </c>
      <c r="N343" t="inlineStr">
        <is>
          <t>alt</t>
        </is>
      </c>
      <c r="O343" t="n">
        <v>60</v>
      </c>
      <c r="P343" t="n">
        <v>0.004578</v>
      </c>
      <c r="Q343" t="n">
        <v>40</v>
      </c>
      <c r="R343" t="n">
        <v>0.10315</v>
      </c>
      <c r="S343">
        <f>IMAGE("https://mitra.stanford.edu/kundaje/oak/projects/neuro-variants/variant_position/credible/roussos_2024/variant_figures/roussos_2024.childhood.GLU/rs4844565_count_position.png",4,220,900)</f>
        <v/>
      </c>
      <c r="T343">
        <f>IMAGE("https://mitra.stanford.edu/kundaje/oak/projects/neuro-variants/variant_position/credible/roussos_2024/variant_figures/roussos_2024.childhood.GLU/rs4844565_profile_position.png",4,220,900)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0.0938412372</v>
      </c>
      <c r="G344" t="n">
        <v>0.06457970895164181</v>
      </c>
      <c r="H344" t="n">
        <v>0.0190960345561898</v>
      </c>
      <c r="I344" t="n">
        <v>0.1314828932335132</v>
      </c>
      <c r="J344" t="n">
        <v>0.2338456942112149</v>
      </c>
      <c r="K344" t="n">
        <v>0.1284899724607861</v>
      </c>
      <c r="L344" t="b">
        <v>0</v>
      </c>
      <c r="M344" t="b">
        <v>0</v>
      </c>
      <c r="N344" t="inlineStr">
        <is>
          <t>alt</t>
        </is>
      </c>
      <c r="O344" t="n">
        <v>100</v>
      </c>
      <c r="P344" t="n">
        <v>0.00869</v>
      </c>
      <c r="Q344" t="n">
        <v>100</v>
      </c>
      <c r="R344" t="n">
        <v>0.0839</v>
      </c>
      <c r="S344">
        <f>IMAGE("https://mitra.stanford.edu/kundaje/oak/projects/neuro-variants/variant_position/credible/roussos_2024/variant_figures/roussos_2024.childhood.GLU/rs2075864_count_position.png",4,220,900)</f>
        <v/>
      </c>
      <c r="T344">
        <f>IMAGE("https://mitra.stanford.edu/kundaje/oak/projects/neuro-variants/variant_position/credible/roussos_2024/variant_figures/roussos_2024.childhood.GLU/rs2075864_profile_position.png",4,220,900)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0.04730710746</v>
      </c>
      <c r="G345" t="n">
        <v>0.206584851406012</v>
      </c>
      <c r="H345" t="n">
        <v>0.0188350602504295</v>
      </c>
      <c r="I345" t="n">
        <v>0.1287777517773546</v>
      </c>
      <c r="J345" t="n">
        <v>0.2163392296042939</v>
      </c>
      <c r="K345" t="n">
        <v>0.1387762961973037</v>
      </c>
      <c r="L345" t="b">
        <v>0</v>
      </c>
      <c r="M345" t="b">
        <v>0</v>
      </c>
      <c r="N345" t="inlineStr">
        <is>
          <t>alt</t>
        </is>
      </c>
      <c r="O345" t="n">
        <v>100</v>
      </c>
      <c r="P345" t="n">
        <v>0.007088</v>
      </c>
      <c r="Q345" t="n">
        <v>100</v>
      </c>
      <c r="R345" t="n">
        <v>0.0929</v>
      </c>
      <c r="S345">
        <f>IMAGE("https://mitra.stanford.edu/kundaje/oak/projects/neuro-variants/variant_position/credible/roussos_2024/variant_figures/roussos_2024.childhood.GLU/rs2075865_count_position.png",4,220,900)</f>
        <v/>
      </c>
      <c r="T345">
        <f>IMAGE("https://mitra.stanford.edu/kundaje/oak/projects/neuro-variants/variant_position/credible/roussos_2024/variant_figures/roussos_2024.childhood.GLU/rs2075865_profile_position.png",4,220,900)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-0.08935731299999999</v>
      </c>
      <c r="G346" t="n">
        <v>0.06267812529048319</v>
      </c>
      <c r="H346" t="n">
        <v>0.0133183856517203</v>
      </c>
      <c r="I346" t="n">
        <v>0.3452250768305009</v>
      </c>
      <c r="J346" t="n">
        <v>0.088191661429734</v>
      </c>
      <c r="K346" t="n">
        <v>0.2668607081251041</v>
      </c>
      <c r="L346" t="b">
        <v>0</v>
      </c>
      <c r="M346" t="b">
        <v>0</v>
      </c>
      <c r="N346" t="inlineStr">
        <is>
          <t>ref</t>
        </is>
      </c>
      <c r="O346" t="n">
        <v>30</v>
      </c>
      <c r="P346" t="n">
        <v>0.0004244</v>
      </c>
      <c r="Q346" t="n">
        <v>70</v>
      </c>
      <c r="R346" t="n">
        <v>0.137</v>
      </c>
      <c r="S346">
        <f>IMAGE("https://mitra.stanford.edu/kundaje/oak/projects/neuro-variants/variant_position/credible/roussos_2024/variant_figures/roussos_2024.childhood.GLU/rs895239_count_position.png",4,220,900)</f>
        <v/>
      </c>
      <c r="T346">
        <f>IMAGE("https://mitra.stanford.edu/kundaje/oak/projects/neuro-variants/variant_position/credible/roussos_2024/variant_figures/roussos_2024.childhood.GLU/rs895239_profile_position.png",4,220,900)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-0.0063887136</v>
      </c>
      <c r="G347" t="n">
        <v>0.4019663153866959</v>
      </c>
      <c r="H347" t="n">
        <v>0.0140780611135957</v>
      </c>
      <c r="I347" t="n">
        <v>0.2917728697959375</v>
      </c>
      <c r="J347" t="n">
        <v>0.0897792246592559</v>
      </c>
      <c r="K347" t="n">
        <v>0.2635903997265417</v>
      </c>
      <c r="L347" t="b">
        <v>0</v>
      </c>
      <c r="M347" t="b">
        <v>0</v>
      </c>
      <c r="N347" t="inlineStr">
        <is>
          <t>ref</t>
        </is>
      </c>
      <c r="O347" t="n">
        <v>-30</v>
      </c>
      <c r="P347" t="n">
        <v>0.0004177</v>
      </c>
      <c r="Q347" t="n">
        <v>70</v>
      </c>
      <c r="R347" t="n">
        <v>0.11304</v>
      </c>
      <c r="S347">
        <f>IMAGE("https://mitra.stanford.edu/kundaje/oak/projects/neuro-variants/variant_position/credible/roussos_2024/variant_figures/roussos_2024.childhood.GLU/rs895240_count_position.png",4,220,900)</f>
        <v/>
      </c>
      <c r="T347">
        <f>IMAGE("https://mitra.stanford.edu/kundaje/oak/projects/neuro-variants/variant_position/credible/roussos_2024/variant_figures/roussos_2024.childhood.GLU/rs895240_profile_position.png",4,220,900)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-0.0244937214</v>
      </c>
      <c r="G348" t="n">
        <v>0.1651505708972328</v>
      </c>
      <c r="H348" t="n">
        <v>0.0158784282864877</v>
      </c>
      <c r="I348" t="n">
        <v>0.2316141847784291</v>
      </c>
      <c r="J348" t="n">
        <v>0.2397869512810738</v>
      </c>
      <c r="K348" t="n">
        <v>0.1251561834774471</v>
      </c>
      <c r="L348" t="b">
        <v>0</v>
      </c>
      <c r="M348" t="b">
        <v>0</v>
      </c>
      <c r="N348" t="inlineStr">
        <is>
          <t>ref</t>
        </is>
      </c>
      <c r="O348" t="n">
        <v>-55</v>
      </c>
      <c r="P348" t="n">
        <v>0.003021</v>
      </c>
      <c r="Q348" t="n">
        <v>-5</v>
      </c>
      <c r="R348" t="n">
        <v>0.00928</v>
      </c>
      <c r="S348">
        <f>IMAGE("https://mitra.stanford.edu/kundaje/oak/projects/neuro-variants/variant_position/credible/roussos_2024/variant_figures/roussos_2024.childhood.GLU/rs600396_count_position.png",4,220,900)</f>
        <v/>
      </c>
      <c r="T348">
        <f>IMAGE("https://mitra.stanford.edu/kundaje/oak/projects/neuro-variants/variant_position/credible/roussos_2024/variant_figures/roussos_2024.childhood.GLU/rs600396_profile_position.png",4,220,900)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-0.018160830334</v>
      </c>
      <c r="G349" t="n">
        <v>0.4718221239612129</v>
      </c>
      <c r="H349" t="n">
        <v>0.0183801150817799</v>
      </c>
      <c r="I349" t="n">
        <v>0.1383672730228594</v>
      </c>
      <c r="J349" t="n">
        <v>0.1740560643679108</v>
      </c>
      <c r="K349" t="n">
        <v>0.1665892786104476</v>
      </c>
      <c r="L349" t="b">
        <v>0</v>
      </c>
      <c r="M349" t="b">
        <v>0</v>
      </c>
      <c r="N349" t="inlineStr">
        <is>
          <t>ref</t>
        </is>
      </c>
      <c r="O349" t="n">
        <v>-15</v>
      </c>
      <c r="P349" t="n">
        <v>0.001053</v>
      </c>
      <c r="Q349" t="n">
        <v>80</v>
      </c>
      <c r="R349" t="n">
        <v>0.08777</v>
      </c>
      <c r="S349">
        <f>IMAGE("https://mitra.stanford.edu/kundaje/oak/projects/neuro-variants/variant_position/credible/roussos_2024/variant_figures/roussos_2024.childhood.GLU/rs7529009_count_position.png",4,220,900)</f>
        <v/>
      </c>
      <c r="T349">
        <f>IMAGE("https://mitra.stanford.edu/kundaje/oak/projects/neuro-variants/variant_position/credible/roussos_2024/variant_figures/roussos_2024.childhood.GLU/rs7529009_profile_position.png",4,220,900)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0.0783570252</v>
      </c>
      <c r="G350" t="n">
        <v>0.07820561137227421</v>
      </c>
      <c r="H350" t="n">
        <v>0.0349589432980621</v>
      </c>
      <c r="I350" t="n">
        <v>0.0117360416843864</v>
      </c>
      <c r="J350" t="n">
        <v>0.2423666127520166</v>
      </c>
      <c r="K350" t="n">
        <v>0.1231384665210693</v>
      </c>
      <c r="L350" t="b">
        <v>1</v>
      </c>
      <c r="M350" t="b">
        <v>0</v>
      </c>
      <c r="N350" t="inlineStr">
        <is>
          <t>alt</t>
        </is>
      </c>
      <c r="O350" t="n">
        <v>55</v>
      </c>
      <c r="P350" t="n">
        <v>0.007618</v>
      </c>
      <c r="Q350" t="n">
        <v>100</v>
      </c>
      <c r="R350" t="n">
        <v>0.11914</v>
      </c>
      <c r="S350">
        <f>IMAGE("https://mitra.stanford.edu/kundaje/oak/projects/neuro-variants/variant_position/credible/roussos_2024/variant_figures/roussos_2024.childhood.GLU/rs7530960_count_position.png",4,220,900)</f>
        <v/>
      </c>
      <c r="T350">
        <f>IMAGE("https://mitra.stanford.edu/kundaje/oak/projects/neuro-variants/variant_position/credible/roussos_2024/variant_figures/roussos_2024.childhood.GLU/rs7530960_profile_position.png",4,220,900)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0.0273530879999999</v>
      </c>
      <c r="G351" t="n">
        <v>0.2334149560571281</v>
      </c>
      <c r="H351" t="n">
        <v>0.0149721914271461</v>
      </c>
      <c r="I351" t="n">
        <v>0.2567559633519639</v>
      </c>
      <c r="J351" t="n">
        <v>0.2040858376173158</v>
      </c>
      <c r="K351" t="n">
        <v>0.1446683112456475</v>
      </c>
      <c r="L351" t="b">
        <v>0</v>
      </c>
      <c r="M351" t="b">
        <v>0</v>
      </c>
      <c r="N351" t="inlineStr">
        <is>
          <t>alt</t>
        </is>
      </c>
      <c r="O351" t="n">
        <v>95</v>
      </c>
      <c r="P351" t="n">
        <v>0.141</v>
      </c>
      <c r="Q351" t="n">
        <v>40</v>
      </c>
      <c r="R351" t="n">
        <v>0.2922</v>
      </c>
      <c r="S351">
        <f>IMAGE("https://mitra.stanford.edu/kundaje/oak/projects/neuro-variants/variant_position/credible/roussos_2024/variant_figures/roussos_2024.childhood.GLU/rs3811489_count_position.png",4,220,900)</f>
        <v/>
      </c>
      <c r="T351">
        <f>IMAGE("https://mitra.stanford.edu/kundaje/oak/projects/neuro-variants/variant_position/credible/roussos_2024/variant_figures/roussos_2024.childhood.GLU/rs3811489_profile_position.png",4,220,900)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-0.0311145314</v>
      </c>
      <c r="G352" t="n">
        <v>0.3208071942842081</v>
      </c>
      <c r="H352" t="n">
        <v>0.0108623384730995</v>
      </c>
      <c r="I352" t="n">
        <v>0.5614047715921243</v>
      </c>
      <c r="J352" t="n">
        <v>0.3103031926401352</v>
      </c>
      <c r="K352" t="n">
        <v>0.09295016222794369</v>
      </c>
      <c r="L352" t="b">
        <v>0</v>
      </c>
      <c r="M352" t="b">
        <v>0</v>
      </c>
      <c r="N352" t="inlineStr">
        <is>
          <t>ref</t>
        </is>
      </c>
      <c r="O352" t="n">
        <v>-85</v>
      </c>
      <c r="P352" t="n">
        <v>0.002144</v>
      </c>
      <c r="Q352" t="n">
        <v>100</v>
      </c>
      <c r="R352" t="n">
        <v>0.1433</v>
      </c>
      <c r="S352">
        <f>IMAGE("https://mitra.stanford.edu/kundaje/oak/projects/neuro-variants/variant_position/credible/roussos_2024/variant_figures/roussos_2024.childhood.GLU/rs4412597_count_position.png",4,220,900)</f>
        <v/>
      </c>
      <c r="T352">
        <f>IMAGE("https://mitra.stanford.edu/kundaje/oak/projects/neuro-variants/variant_position/credible/roussos_2024/variant_figures/roussos_2024.childhood.GLU/rs4412597_profile_position.png",4,220,900)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0.0952505371999999</v>
      </c>
      <c r="G353" t="n">
        <v>0.0617557440926895</v>
      </c>
      <c r="H353" t="n">
        <v>0.0290151756554849</v>
      </c>
      <c r="I353" t="n">
        <v>0.0262166942424187</v>
      </c>
      <c r="J353" t="n">
        <v>0.3016153790680664</v>
      </c>
      <c r="K353" t="n">
        <v>0.0962547273005936</v>
      </c>
      <c r="L353" t="b">
        <v>0</v>
      </c>
      <c r="M353" t="b">
        <v>0</v>
      </c>
      <c r="N353" t="inlineStr">
        <is>
          <t>alt</t>
        </is>
      </c>
      <c r="O353" t="n">
        <v>-60</v>
      </c>
      <c r="P353" t="n">
        <v>0.001221</v>
      </c>
      <c r="Q353" t="n">
        <v>-55</v>
      </c>
      <c r="R353" t="n">
        <v>0.11646</v>
      </c>
      <c r="S353">
        <f>IMAGE("https://mitra.stanford.edu/kundaje/oak/projects/neuro-variants/variant_position/credible/roussos_2024/variant_figures/roussos_2024.childhood.GLU/rs2078219_count_position.png",4,220,900)</f>
        <v/>
      </c>
      <c r="T353">
        <f>IMAGE("https://mitra.stanford.edu/kundaje/oak/projects/neuro-variants/variant_position/credible/roussos_2024/variant_figures/roussos_2024.childhood.GLU/rs2078219_profile_position.png",4,220,900)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-0.086904448</v>
      </c>
      <c r="G354" t="n">
        <v>0.08269695293052901</v>
      </c>
      <c r="H354" t="n">
        <v>0.0212402717963405</v>
      </c>
      <c r="I354" t="n">
        <v>0.0812415039612739</v>
      </c>
      <c r="J354" t="n">
        <v>0.2321427467625454</v>
      </c>
      <c r="K354" t="n">
        <v>0.1287725946125072</v>
      </c>
      <c r="L354" t="b">
        <v>0</v>
      </c>
      <c r="M354" t="b">
        <v>0</v>
      </c>
      <c r="N354" t="inlineStr">
        <is>
          <t>ref</t>
        </is>
      </c>
      <c r="O354" t="n">
        <v>-65</v>
      </c>
      <c r="P354" t="n">
        <v>0.001709</v>
      </c>
      <c r="Q354" t="n">
        <v>75</v>
      </c>
      <c r="R354" t="n">
        <v>0.01294</v>
      </c>
      <c r="S354">
        <f>IMAGE("https://mitra.stanford.edu/kundaje/oak/projects/neuro-variants/variant_position/credible/roussos_2024/variant_figures/roussos_2024.childhood.GLU/rs880329_count_position.png",4,220,900)</f>
        <v/>
      </c>
      <c r="T354">
        <f>IMAGE("https://mitra.stanford.edu/kundaje/oak/projects/neuro-variants/variant_position/credible/roussos_2024/variant_figures/roussos_2024.childhood.GLU/rs880329_profile_position.png",4,220,900)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0.0492735268</v>
      </c>
      <c r="G355" t="n">
        <v>0.1862469421908792</v>
      </c>
      <c r="H355" t="n">
        <v>0.0261473656438282</v>
      </c>
      <c r="I355" t="n">
        <v>0.0373852232855877</v>
      </c>
      <c r="J355" t="n">
        <v>0.1236805505475598</v>
      </c>
      <c r="K355" t="n">
        <v>0.2203480536219055</v>
      </c>
      <c r="L355" t="b">
        <v>0</v>
      </c>
      <c r="M355" t="b">
        <v>0</v>
      </c>
      <c r="N355" t="inlineStr">
        <is>
          <t>alt</t>
        </is>
      </c>
      <c r="O355" t="n">
        <v>100</v>
      </c>
      <c r="P355" t="n">
        <v>0.001812</v>
      </c>
      <c r="Q355" t="n">
        <v>-40</v>
      </c>
      <c r="R355" t="n">
        <v>0.0702</v>
      </c>
      <c r="S355">
        <f>IMAGE("https://mitra.stanford.edu/kundaje/oak/projects/neuro-variants/variant_position/credible/roussos_2024/variant_figures/roussos_2024.childhood.GLU/rs12083455_count_position.png",4,220,900)</f>
        <v/>
      </c>
      <c r="T355">
        <f>IMAGE("https://mitra.stanford.edu/kundaje/oak/projects/neuro-variants/variant_position/credible/roussos_2024/variant_figures/roussos_2024.childhood.GLU/rs12083455_profile_position.png",4,220,900)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0.00688745474</v>
      </c>
      <c r="G356" t="n">
        <v>0.7264876997640892</v>
      </c>
      <c r="H356" t="n">
        <v>0.0100524115723411</v>
      </c>
      <c r="I356" t="n">
        <v>0.6436902601704794</v>
      </c>
      <c r="J356" t="n">
        <v>0.09101342371763819</v>
      </c>
      <c r="K356" t="n">
        <v>0.2649476528368176</v>
      </c>
      <c r="L356" t="b">
        <v>0</v>
      </c>
      <c r="M356" t="b">
        <v>0</v>
      </c>
      <c r="N356" t="inlineStr">
        <is>
          <t>alt</t>
        </is>
      </c>
      <c r="O356" t="n">
        <v>10</v>
      </c>
      <c r="P356" t="n">
        <v>0.000849</v>
      </c>
      <c r="Q356" t="n">
        <v>5</v>
      </c>
      <c r="R356" t="n">
        <v>0.002197</v>
      </c>
      <c r="S356">
        <f>IMAGE("https://mitra.stanford.edu/kundaje/oak/projects/neuro-variants/variant_position/credible/roussos_2024/variant_figures/roussos_2024.childhood.GLU/rs7512794_count_position.png",4,220,900)</f>
        <v/>
      </c>
      <c r="T356">
        <f>IMAGE("https://mitra.stanford.edu/kundaje/oak/projects/neuro-variants/variant_position/credible/roussos_2024/variant_figures/roussos_2024.childhood.GLU/rs7512794_profile_position.png",4,220,900)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0.1095939452</v>
      </c>
      <c r="G357" t="n">
        <v>0.0358220234583229</v>
      </c>
      <c r="H357" t="n">
        <v>0.0159431401981963</v>
      </c>
      <c r="I357" t="n">
        <v>0.2061156173816485</v>
      </c>
      <c r="J357" t="n">
        <v>0.1156860725066191</v>
      </c>
      <c r="K357" t="n">
        <v>0.2297030550463021</v>
      </c>
      <c r="L357" t="b">
        <v>0</v>
      </c>
      <c r="M357" t="b">
        <v>0</v>
      </c>
      <c r="N357" t="inlineStr">
        <is>
          <t>alt</t>
        </is>
      </c>
      <c r="O357" t="n">
        <v>-45</v>
      </c>
      <c r="P357" t="n">
        <v>0.006355</v>
      </c>
      <c r="Q357" t="n">
        <v>-50</v>
      </c>
      <c r="R357" t="n">
        <v>0.05762</v>
      </c>
      <c r="S357">
        <f>IMAGE("https://mitra.stanford.edu/kundaje/oak/projects/neuro-variants/variant_position/credible/roussos_2024/variant_figures/roussos_2024.childhood.GLU/rs7520068_count_position.png",4,220,900)</f>
        <v/>
      </c>
      <c r="T357">
        <f>IMAGE("https://mitra.stanford.edu/kundaje/oak/projects/neuro-variants/variant_position/credible/roussos_2024/variant_figures/roussos_2024.childhood.GLU/rs7520068_profile_position.png",4,220,900)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0.016398882</v>
      </c>
      <c r="G358" t="n">
        <v>0.4427756909082115</v>
      </c>
      <c r="H358" t="n">
        <v>0.0194856289368067</v>
      </c>
      <c r="I358" t="n">
        <v>0.1168741926003842</v>
      </c>
      <c r="J358" t="n">
        <v>0.0127015360524173</v>
      </c>
      <c r="K358" t="n">
        <v>0.5700706969086091</v>
      </c>
      <c r="L358" t="b">
        <v>0</v>
      </c>
      <c r="M358" t="b">
        <v>0</v>
      </c>
      <c r="N358" t="inlineStr">
        <is>
          <t>alt</t>
        </is>
      </c>
      <c r="O358" t="n">
        <v>85</v>
      </c>
      <c r="P358" t="n">
        <v>0.00403</v>
      </c>
      <c r="Q358" t="n">
        <v>-40</v>
      </c>
      <c r="R358" t="n">
        <v>0.08813</v>
      </c>
      <c r="S358">
        <f>IMAGE("https://mitra.stanford.edu/kundaje/oak/projects/neuro-variants/variant_position/credible/roussos_2024/variant_figures/roussos_2024.childhood.GLU/rs7531956_count_position.png",4,220,900)</f>
        <v/>
      </c>
      <c r="T358">
        <f>IMAGE("https://mitra.stanford.edu/kundaje/oak/projects/neuro-variants/variant_position/credible/roussos_2024/variant_figures/roussos_2024.childhood.GLU/rs7531956_profile_position.png",4,220,900)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-0.003721360636</v>
      </c>
      <c r="G359" t="n">
        <v>0.8445336275633859</v>
      </c>
      <c r="H359" t="n">
        <v>0.0287966891906381</v>
      </c>
      <c r="I359" t="n">
        <v>0.0247295423185335</v>
      </c>
      <c r="J359" t="n">
        <v>5.151081211946388e-06</v>
      </c>
      <c r="K359" t="n">
        <v>1</v>
      </c>
      <c r="L359" t="b">
        <v>0</v>
      </c>
      <c r="M359" t="b">
        <v>0</v>
      </c>
      <c r="N359" t="inlineStr">
        <is>
          <t>ref</t>
        </is>
      </c>
      <c r="O359" t="n">
        <v>-50</v>
      </c>
      <c r="P359" t="n">
        <v>0.008330000000000001</v>
      </c>
      <c r="Q359" t="n">
        <v>10</v>
      </c>
      <c r="R359" t="n">
        <v>0.01355</v>
      </c>
      <c r="S359">
        <f>IMAGE("https://mitra.stanford.edu/kundaje/oak/projects/neuro-variants/variant_position/credible/roussos_2024/variant_figures/roussos_2024.childhood.GLU/rs9428451_count_position.png",4,220,900)</f>
        <v/>
      </c>
      <c r="T359">
        <f>IMAGE("https://mitra.stanford.edu/kundaje/oak/projects/neuro-variants/variant_position/credible/roussos_2024/variant_figures/roussos_2024.childhood.GLU/rs9428451_profile_position.png",4,220,900)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0.0291138661999999</v>
      </c>
      <c r="G360" t="n">
        <v>0.3347546669209338</v>
      </c>
      <c r="H360" t="n">
        <v>0.0102748269663975</v>
      </c>
      <c r="I360" t="n">
        <v>0.6276965334512906</v>
      </c>
      <c r="J360" t="n">
        <v>0.0159178711611566</v>
      </c>
      <c r="K360" t="n">
        <v>0.5240463158470089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0.01938</v>
      </c>
      <c r="Q360" t="n">
        <v>100</v>
      </c>
      <c r="R360" t="n">
        <v>0.04617</v>
      </c>
      <c r="S360">
        <f>IMAGE("https://mitra.stanford.edu/kundaje/oak/projects/neuro-variants/variant_position/credible/roussos_2024/variant_figures/roussos_2024.childhood.GLU/rs12741781_count_position.png",4,220,900)</f>
        <v/>
      </c>
      <c r="T360">
        <f>IMAGE("https://mitra.stanford.edu/kundaje/oak/projects/neuro-variants/variant_position/credible/roussos_2024/variant_figures/roussos_2024.childhood.GLU/rs12741781_profile_position.png",4,220,900)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0.0432618674</v>
      </c>
      <c r="G361" t="n">
        <v>0.2097132628025498</v>
      </c>
      <c r="H361" t="n">
        <v>0.009628481924291299</v>
      </c>
      <c r="I361" t="n">
        <v>0.695513077881572</v>
      </c>
      <c r="J361" t="n">
        <v>0.0693696106812819</v>
      </c>
      <c r="K361" t="n">
        <v>0.3028358935032282</v>
      </c>
      <c r="L361" t="b">
        <v>0</v>
      </c>
      <c r="M361" t="b">
        <v>0</v>
      </c>
      <c r="N361" t="inlineStr">
        <is>
          <t>alt</t>
        </is>
      </c>
      <c r="O361" t="n">
        <v>-15</v>
      </c>
      <c r="P361" t="n">
        <v>0.0001373</v>
      </c>
      <c r="Q361" t="n">
        <v>-80</v>
      </c>
      <c r="R361" t="n">
        <v>0.05054</v>
      </c>
      <c r="S361">
        <f>IMAGE("https://mitra.stanford.edu/kundaje/oak/projects/neuro-variants/variant_position/credible/roussos_2024/variant_figures/roussos_2024.childhood.GLU/rs2275154_count_position.png",4,220,900)</f>
        <v/>
      </c>
      <c r="T361">
        <f>IMAGE("https://mitra.stanford.edu/kundaje/oak/projects/neuro-variants/variant_position/credible/roussos_2024/variant_figures/roussos_2024.childhood.GLU/rs2275154_profile_position.png",4,220,900)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0.0396342118</v>
      </c>
      <c r="G362" t="n">
        <v>0.2442093308887212</v>
      </c>
      <c r="H362" t="n">
        <v>0.0103788142924457</v>
      </c>
      <c r="I362" t="n">
        <v>0.6192336465210972</v>
      </c>
      <c r="J362" t="n">
        <v>0.4946160899172736</v>
      </c>
      <c r="K362" t="n">
        <v>0.0435751852043185</v>
      </c>
      <c r="L362" t="b">
        <v>0</v>
      </c>
      <c r="M362" t="b">
        <v>0</v>
      </c>
      <c r="N362" t="inlineStr">
        <is>
          <t>alt</t>
        </is>
      </c>
      <c r="O362" t="n">
        <v>100</v>
      </c>
      <c r="P362" t="n">
        <v>0.007849999999999999</v>
      </c>
      <c r="Q362" t="n">
        <v>100</v>
      </c>
      <c r="R362" t="n">
        <v>0.1799</v>
      </c>
      <c r="S362">
        <f>IMAGE("https://mitra.stanford.edu/kundaje/oak/projects/neuro-variants/variant_position/credible/roussos_2024/variant_figures/roussos_2024.childhood.GLU/rs884328_count_position.png",4,220,900)</f>
        <v/>
      </c>
      <c r="T362">
        <f>IMAGE("https://mitra.stanford.edu/kundaje/oak/projects/neuro-variants/variant_position/credible/roussos_2024/variant_figures/roussos_2024.childhood.GLU/rs884328_profile_position.png",4,220,900)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0.1506930369999999</v>
      </c>
      <c r="G363" t="n">
        <v>0.0198772317317503</v>
      </c>
      <c r="H363" t="n">
        <v>0.027753646106084</v>
      </c>
      <c r="I363" t="n">
        <v>0.0343368565961307</v>
      </c>
      <c r="J363" t="n">
        <v>0.1147918448082252</v>
      </c>
      <c r="K363" t="n">
        <v>0.2272876760805649</v>
      </c>
      <c r="L363" t="b">
        <v>0</v>
      </c>
      <c r="M363" t="b">
        <v>0</v>
      </c>
      <c r="N363" t="inlineStr">
        <is>
          <t>alt</t>
        </is>
      </c>
      <c r="O363" t="n">
        <v>20</v>
      </c>
      <c r="P363" t="n">
        <v>0.006775</v>
      </c>
      <c r="Q363" t="n">
        <v>70</v>
      </c>
      <c r="R363" t="n">
        <v>0.1355</v>
      </c>
      <c r="S363">
        <f>IMAGE("https://mitra.stanford.edu/kundaje/oak/projects/neuro-variants/variant_position/credible/roussos_2024/variant_figures/roussos_2024.childhood.GLU/rs1352162_count_position.png",4,220,900)</f>
        <v/>
      </c>
      <c r="T363">
        <f>IMAGE("https://mitra.stanford.edu/kundaje/oak/projects/neuro-variants/variant_position/credible/roussos_2024/variant_figures/roussos_2024.childhood.GLU/rs1352162_profile_position.png",4,220,900)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0.06842054879999999</v>
      </c>
      <c r="G364" t="n">
        <v>0.1006321632561087</v>
      </c>
      <c r="H364" t="n">
        <v>0.0144162062877547</v>
      </c>
      <c r="I364" t="n">
        <v>0.2766679406907326</v>
      </c>
      <c r="J364" t="n">
        <v>0.1076369930048316</v>
      </c>
      <c r="K364" t="n">
        <v>0.2362133123966529</v>
      </c>
      <c r="L364" t="b">
        <v>0</v>
      </c>
      <c r="M364" t="b">
        <v>0</v>
      </c>
      <c r="N364" t="inlineStr">
        <is>
          <t>alt</t>
        </is>
      </c>
      <c r="O364" t="n">
        <v>95</v>
      </c>
      <c r="P364" t="n">
        <v>0.004868</v>
      </c>
      <c r="Q364" t="n">
        <v>95</v>
      </c>
      <c r="R364" t="n">
        <v>0.10364</v>
      </c>
      <c r="S364">
        <f>IMAGE("https://mitra.stanford.edu/kundaje/oak/projects/neuro-variants/variant_position/credible/roussos_2024/variant_figures/roussos_2024.childhood.GLU/rs145071536_count_position.png",4,220,900)</f>
        <v/>
      </c>
      <c r="T364">
        <f>IMAGE("https://mitra.stanford.edu/kundaje/oak/projects/neuro-variants/variant_position/credible/roussos_2024/variant_figures/roussos_2024.childhood.GLU/rs145071536_profile_position.png",4,220,900)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0.0023254410339999</v>
      </c>
      <c r="G365" t="n">
        <v>0.6626198127078842</v>
      </c>
      <c r="H365" t="n">
        <v>0.0242786364961319</v>
      </c>
      <c r="I365" t="n">
        <v>0.0506348744384559</v>
      </c>
      <c r="J365" t="n">
        <v>0.0006304923403421</v>
      </c>
      <c r="K365" t="n">
        <v>0.8521757606243818</v>
      </c>
      <c r="L365" t="b">
        <v>0</v>
      </c>
      <c r="M365" t="b">
        <v>0</v>
      </c>
      <c r="N365" t="inlineStr">
        <is>
          <t>alt</t>
        </is>
      </c>
      <c r="O365" t="n">
        <v>-75</v>
      </c>
      <c r="P365" t="n">
        <v>0.005516</v>
      </c>
      <c r="Q365" t="n">
        <v>100</v>
      </c>
      <c r="R365" t="n">
        <v>0.1475</v>
      </c>
      <c r="S365">
        <f>IMAGE("https://mitra.stanford.edu/kundaje/oak/projects/neuro-variants/variant_position/credible/roussos_2024/variant_figures/roussos_2024.childhood.GLU/rs11586029_count_position.png",4,220,900)</f>
        <v/>
      </c>
      <c r="T365">
        <f>IMAGE("https://mitra.stanford.edu/kundaje/oak/projects/neuro-variants/variant_position/credible/roussos_2024/variant_figures/roussos_2024.childhood.GLU/rs11586029_profile_position.png",4,220,900)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0.0300239128</v>
      </c>
      <c r="G366" t="n">
        <v>0.3294536055626239</v>
      </c>
      <c r="H366" t="n">
        <v>0.0161167151550417</v>
      </c>
      <c r="I366" t="n">
        <v>0.1969497531603107</v>
      </c>
      <c r="J366" t="n">
        <v>0.0028155809904498</v>
      </c>
      <c r="K366" t="n">
        <v>0.7510224460726768</v>
      </c>
      <c r="L366" t="b">
        <v>0</v>
      </c>
      <c r="M366" t="b">
        <v>0</v>
      </c>
      <c r="N366" t="inlineStr">
        <is>
          <t>alt</t>
        </is>
      </c>
      <c r="O366" t="n">
        <v>20</v>
      </c>
      <c r="P366" t="n">
        <v>0.014015</v>
      </c>
      <c r="Q366" t="n">
        <v>30</v>
      </c>
      <c r="R366" t="n">
        <v>0.04034</v>
      </c>
      <c r="S366">
        <f>IMAGE("https://mitra.stanford.edu/kundaje/oak/projects/neuro-variants/variant_position/credible/roussos_2024/variant_figures/roussos_2024.childhood.GLU/rs61833239_count_position.png",4,220,900)</f>
        <v/>
      </c>
      <c r="T366">
        <f>IMAGE("https://mitra.stanford.edu/kundaje/oak/projects/neuro-variants/variant_position/credible/roussos_2024/variant_figures/roussos_2024.childhood.GLU/rs61833239_profile_position.png",4,220,900)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0.07995041763999999</v>
      </c>
      <c r="G367" t="n">
        <v>0.0853667285386881</v>
      </c>
      <c r="H367" t="n">
        <v>0.01992609133858</v>
      </c>
      <c r="I367" t="n">
        <v>0.1034518326271128</v>
      </c>
      <c r="J367" t="n">
        <v>0.1397333800364696</v>
      </c>
      <c r="K367" t="n">
        <v>0.1990129217985291</v>
      </c>
      <c r="L367" t="b">
        <v>0</v>
      </c>
      <c r="M367" t="b">
        <v>0</v>
      </c>
      <c r="N367" t="inlineStr">
        <is>
          <t>alt</t>
        </is>
      </c>
      <c r="O367" t="n">
        <v>65</v>
      </c>
      <c r="P367" t="n">
        <v>0.00418</v>
      </c>
      <c r="Q367" t="n">
        <v>85</v>
      </c>
      <c r="R367" t="n">
        <v>0.103</v>
      </c>
      <c r="S367">
        <f>IMAGE("https://mitra.stanford.edu/kundaje/oak/projects/neuro-variants/variant_position/credible/roussos_2024/variant_figures/roussos_2024.childhood.GLU/rs1043003_count_position.png",4,220,900)</f>
        <v/>
      </c>
      <c r="T367">
        <f>IMAGE("https://mitra.stanford.edu/kundaje/oak/projects/neuro-variants/variant_position/credible/roussos_2024/variant_figures/roussos_2024.childhood.GLU/rs1043003_profile_position.png",4,220,900)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0.009646009400000001</v>
      </c>
      <c r="G368" t="n">
        <v>0.6497059755341695</v>
      </c>
      <c r="H368" t="n">
        <v>0.0173783493499944</v>
      </c>
      <c r="I368" t="n">
        <v>0.1570437899428523</v>
      </c>
      <c r="J368" t="n">
        <v>0.0030154429414733</v>
      </c>
      <c r="K368" t="n">
        <v>0.7225412913639743</v>
      </c>
      <c r="L368" t="b">
        <v>0</v>
      </c>
      <c r="M368" t="b">
        <v>0</v>
      </c>
      <c r="N368" t="inlineStr">
        <is>
          <t>alt</t>
        </is>
      </c>
      <c r="O368" t="n">
        <v>-45</v>
      </c>
      <c r="P368" t="n">
        <v>0.005646</v>
      </c>
      <c r="Q368" t="n">
        <v>100</v>
      </c>
      <c r="R368" t="n">
        <v>0.1169</v>
      </c>
      <c r="S368">
        <f>IMAGE("https://mitra.stanford.edu/kundaje/oak/projects/neuro-variants/variant_position/credible/roussos_2024/variant_figures/roussos_2024.childhood.GLU/rs11014167_count_position.png",4,220,900)</f>
        <v/>
      </c>
      <c r="T368">
        <f>IMAGE("https://mitra.stanford.edu/kundaje/oak/projects/neuro-variants/variant_position/credible/roussos_2024/variant_figures/roussos_2024.childhood.GLU/rs11014167_profile_position.png",4,220,900)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-0.0344059496</v>
      </c>
      <c r="G369" t="n">
        <v>0.300361190593176</v>
      </c>
      <c r="H369" t="n">
        <v>0.012040272607355</v>
      </c>
      <c r="I369" t="n">
        <v>0.4597496594208871</v>
      </c>
      <c r="J369" t="n">
        <v>0.466749770776886</v>
      </c>
      <c r="K369" t="n">
        <v>0.0486999593825313</v>
      </c>
      <c r="L369" t="b">
        <v>0</v>
      </c>
      <c r="M369" t="b">
        <v>0</v>
      </c>
      <c r="N369" t="inlineStr">
        <is>
          <t>ref</t>
        </is>
      </c>
      <c r="O369" t="n">
        <v>100</v>
      </c>
      <c r="P369" t="n">
        <v>0.01178</v>
      </c>
      <c r="Q369" t="n">
        <v>100</v>
      </c>
      <c r="R369" t="n">
        <v>0.1453</v>
      </c>
      <c r="S369">
        <f>IMAGE("https://mitra.stanford.edu/kundaje/oak/projects/neuro-variants/variant_position/credible/roussos_2024/variant_figures/roussos_2024.childhood.GLU/rs640729_count_position.png",4,220,900)</f>
        <v/>
      </c>
      <c r="T369">
        <f>IMAGE("https://mitra.stanford.edu/kundaje/oak/projects/neuro-variants/variant_position/credible/roussos_2024/variant_figures/roussos_2024.childhood.GLU/rs640729_profile_position.png",4,220,900)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0.01510907718</v>
      </c>
      <c r="G370" t="n">
        <v>0.5597435969407453</v>
      </c>
      <c r="H370" t="n">
        <v>0.0093948613334693</v>
      </c>
      <c r="I370" t="n">
        <v>0.7214936046256497</v>
      </c>
      <c r="J370" t="n">
        <v>0.0224638651652981</v>
      </c>
      <c r="K370" t="n">
        <v>0.4779933150872254</v>
      </c>
      <c r="L370" t="b">
        <v>0</v>
      </c>
      <c r="M370" t="b">
        <v>0</v>
      </c>
      <c r="N370" t="inlineStr">
        <is>
          <t>alt</t>
        </is>
      </c>
      <c r="O370" t="n">
        <v>90</v>
      </c>
      <c r="P370" t="n">
        <v>0.01569</v>
      </c>
      <c r="Q370" t="n">
        <v>90</v>
      </c>
      <c r="R370" t="n">
        <v>0.2976</v>
      </c>
      <c r="S370">
        <f>IMAGE("https://mitra.stanford.edu/kundaje/oak/projects/neuro-variants/variant_position/credible/roussos_2024/variant_figures/roussos_2024.childhood.GLU/rs663759_count_position.png",4,220,900)</f>
        <v/>
      </c>
      <c r="T370">
        <f>IMAGE("https://mitra.stanford.edu/kundaje/oak/projects/neuro-variants/variant_position/credible/roussos_2024/variant_figures/roussos_2024.childhood.GLU/rs663759_profile_position.png",4,220,900)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-0.0541095238</v>
      </c>
      <c r="G371" t="n">
        <v>0.1616627125004313</v>
      </c>
      <c r="H371" t="n">
        <v>0.0170346091734863</v>
      </c>
      <c r="I371" t="n">
        <v>0.1653029017152467</v>
      </c>
      <c r="J371" t="n">
        <v>0.0052252567813983</v>
      </c>
      <c r="K371" t="n">
        <v>0.6725691903214214</v>
      </c>
      <c r="L371" t="b">
        <v>0</v>
      </c>
      <c r="M371" t="b">
        <v>0</v>
      </c>
      <c r="N371" t="inlineStr">
        <is>
          <t>ref</t>
        </is>
      </c>
      <c r="O371" t="n">
        <v>-50</v>
      </c>
      <c r="P371" t="n">
        <v>0.003422</v>
      </c>
      <c r="Q371" t="n">
        <v>5</v>
      </c>
      <c r="R371" t="n">
        <v>0.0001221</v>
      </c>
      <c r="S371">
        <f>IMAGE("https://mitra.stanford.edu/kundaje/oak/projects/neuro-variants/variant_position/credible/roussos_2024/variant_figures/roussos_2024.childhood.GLU/rs602572_count_position.png",4,220,900)</f>
        <v/>
      </c>
      <c r="T371">
        <f>IMAGE("https://mitra.stanford.edu/kundaje/oak/projects/neuro-variants/variant_position/credible/roussos_2024/variant_figures/roussos_2024.childhood.GLU/rs602572_profile_position.png",4,220,900)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-0.08926970519999999</v>
      </c>
      <c r="G372" t="n">
        <v>0.0741878464699995</v>
      </c>
      <c r="H372" t="n">
        <v>0.0211988961292504</v>
      </c>
      <c r="I372" t="n">
        <v>0.08266368742455681</v>
      </c>
      <c r="J372" t="n">
        <v>0.098258934550362</v>
      </c>
      <c r="K372" t="n">
        <v>0.2543854934002071</v>
      </c>
      <c r="L372" t="b">
        <v>0</v>
      </c>
      <c r="M372" t="b">
        <v>0</v>
      </c>
      <c r="N372" t="inlineStr">
        <is>
          <t>ref</t>
        </is>
      </c>
      <c r="O372" t="n">
        <v>-95</v>
      </c>
      <c r="P372" t="n">
        <v>0.00902</v>
      </c>
      <c r="Q372" t="n">
        <v>85</v>
      </c>
      <c r="R372" t="n">
        <v>0.105</v>
      </c>
      <c r="S372">
        <f>IMAGE("https://mitra.stanford.edu/kundaje/oak/projects/neuro-variants/variant_position/credible/roussos_2024/variant_figures/roussos_2024.childhood.GLU/rs10994321_count_position.png",4,220,900)</f>
        <v/>
      </c>
      <c r="T372">
        <f>IMAGE("https://mitra.stanford.edu/kundaje/oak/projects/neuro-variants/variant_position/credible/roussos_2024/variant_figures/roussos_2024.childhood.GLU/rs10994321_profile_position.png",4,220,900)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0.18599576</v>
      </c>
      <c r="G373" t="n">
        <v>0.009774404636118001</v>
      </c>
      <c r="H373" t="n">
        <v>0.0255804768360771</v>
      </c>
      <c r="I373" t="n">
        <v>0.0427053355302431</v>
      </c>
      <c r="J373" t="n">
        <v>0.0043248477855501</v>
      </c>
      <c r="K373" t="n">
        <v>0.6898217191672589</v>
      </c>
      <c r="L373" t="b">
        <v>1</v>
      </c>
      <c r="M373" t="b">
        <v>1</v>
      </c>
      <c r="N373" t="inlineStr">
        <is>
          <t>alt</t>
        </is>
      </c>
      <c r="O373" t="n">
        <v>80</v>
      </c>
      <c r="P373" t="n">
        <v>0.00839</v>
      </c>
      <c r="Q373" t="n">
        <v>100</v>
      </c>
      <c r="R373" t="n">
        <v>0.1306</v>
      </c>
      <c r="S373">
        <f>IMAGE("https://mitra.stanford.edu/kundaje/oak/projects/neuro-variants/variant_position/credible/roussos_2024/variant_figures/roussos_2024.childhood.GLU/rs10994336_count_position.png",4,220,900)</f>
        <v/>
      </c>
      <c r="T373">
        <f>IMAGE("https://mitra.stanford.edu/kundaje/oak/projects/neuro-variants/variant_position/credible/roussos_2024/variant_figures/roussos_2024.childhood.GLU/rs10994336_profile_position.png",4,220,900)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0.140176402</v>
      </c>
      <c r="G374" t="n">
        <v>0.0194622596708476</v>
      </c>
      <c r="H374" t="n">
        <v>0.0249398068586937</v>
      </c>
      <c r="I374" t="n">
        <v>0.0448271396863997</v>
      </c>
      <c r="J374" t="n">
        <v>0.0183460908444682</v>
      </c>
      <c r="K374" t="n">
        <v>0.5013631988420828</v>
      </c>
      <c r="L374" t="b">
        <v>1</v>
      </c>
      <c r="M374" t="b">
        <v>0</v>
      </c>
      <c r="N374" t="inlineStr">
        <is>
          <t>alt</t>
        </is>
      </c>
      <c r="O374" t="n">
        <v>100</v>
      </c>
      <c r="P374" t="n">
        <v>0.01935</v>
      </c>
      <c r="Q374" t="n">
        <v>-80</v>
      </c>
      <c r="R374" t="n">
        <v>0.07335999999999999</v>
      </c>
      <c r="S374">
        <f>IMAGE("https://mitra.stanford.edu/kundaje/oak/projects/neuro-variants/variant_position/credible/roussos_2024/variant_figures/roussos_2024.childhood.GLU/rs10994337_count_position.png",4,220,900)</f>
        <v/>
      </c>
      <c r="T374">
        <f>IMAGE("https://mitra.stanford.edu/kundaje/oak/projects/neuro-variants/variant_position/credible/roussos_2024/variant_figures/roussos_2024.childhood.GLU/rs10994337_profile_position.png",4,220,900)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0.0240173052</v>
      </c>
      <c r="G375" t="n">
        <v>0.3949531999507868</v>
      </c>
      <c r="H375" t="n">
        <v>0.0082219591919491</v>
      </c>
      <c r="I375" t="n">
        <v>0.8365803959336688</v>
      </c>
      <c r="J375" t="n">
        <v>0.0510884234600842</v>
      </c>
      <c r="K375" t="n">
        <v>0.3467005138587898</v>
      </c>
      <c r="L375" t="b">
        <v>0</v>
      </c>
      <c r="M375" t="b">
        <v>0</v>
      </c>
      <c r="N375" t="inlineStr">
        <is>
          <t>alt</t>
        </is>
      </c>
      <c r="O375" t="n">
        <v>-55</v>
      </c>
      <c r="P375" t="n">
        <v>0.005833</v>
      </c>
      <c r="Q375" t="n">
        <v>50</v>
      </c>
      <c r="R375" t="n">
        <v>0.09039999999999999</v>
      </c>
      <c r="S375">
        <f>IMAGE("https://mitra.stanford.edu/kundaje/oak/projects/neuro-variants/variant_position/credible/roussos_2024/variant_figures/roussos_2024.childhood.GLU/rs61847646_count_position.png",4,220,900)</f>
        <v/>
      </c>
      <c r="T375">
        <f>IMAGE("https://mitra.stanford.edu/kundaje/oak/projects/neuro-variants/variant_position/credible/roussos_2024/variant_figures/roussos_2024.childhood.GLU/rs61847646_profile_position.png",4,220,900)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-0.0061196296999999</v>
      </c>
      <c r="G376" t="n">
        <v>0.567913462060636</v>
      </c>
      <c r="H376" t="n">
        <v>0.0268278535616396</v>
      </c>
      <c r="I376" t="n">
        <v>0.0327371331822079</v>
      </c>
      <c r="J376" t="n">
        <v>0.0006789125037344001</v>
      </c>
      <c r="K376" t="n">
        <v>0.8554374662583285</v>
      </c>
      <c r="L376" t="b">
        <v>0</v>
      </c>
      <c r="M376" t="b">
        <v>0</v>
      </c>
      <c r="N376" t="inlineStr">
        <is>
          <t>ref</t>
        </is>
      </c>
      <c r="O376" t="n">
        <v>-15</v>
      </c>
      <c r="P376" t="n">
        <v>0.001999</v>
      </c>
      <c r="Q376" t="n">
        <v>-85</v>
      </c>
      <c r="R376" t="n">
        <v>0.009429999999999999</v>
      </c>
      <c r="S376">
        <f>IMAGE("https://mitra.stanford.edu/kundaje/oak/projects/neuro-variants/variant_position/credible/roussos_2024/variant_figures/roussos_2024.childhood.GLU/rs9633553_count_position.png",4,220,900)</f>
        <v/>
      </c>
      <c r="T376">
        <f>IMAGE("https://mitra.stanford.edu/kundaje/oak/projects/neuro-variants/variant_position/credible/roussos_2024/variant_figures/roussos_2024.childhood.GLU/rs9633553_profile_position.png",4,220,900)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-0.2091633399999999</v>
      </c>
      <c r="G377" t="n">
        <v>0.0067686538834469</v>
      </c>
      <c r="H377" t="n">
        <v>0.0234143093172124</v>
      </c>
      <c r="I377" t="n">
        <v>0.0589971965353719</v>
      </c>
      <c r="J377" t="n">
        <v>0.1960316070343164</v>
      </c>
      <c r="K377" t="n">
        <v>0.1515854611341475</v>
      </c>
      <c r="L377" t="b">
        <v>1</v>
      </c>
      <c r="M377" t="b">
        <v>1</v>
      </c>
      <c r="N377" t="inlineStr">
        <is>
          <t>ref</t>
        </is>
      </c>
      <c r="O377" t="n">
        <v>-25</v>
      </c>
      <c r="P377" t="n">
        <v>0.002327</v>
      </c>
      <c r="Q377" t="n">
        <v>95</v>
      </c>
      <c r="R377" t="n">
        <v>0.0659</v>
      </c>
      <c r="S377">
        <f>IMAGE("https://mitra.stanford.edu/kundaje/oak/projects/neuro-variants/variant_position/credible/roussos_2024/variant_figures/roussos_2024.childhood.GLU/rs10821789_count_position.png",4,220,900)</f>
        <v/>
      </c>
      <c r="T377">
        <f>IMAGE("https://mitra.stanford.edu/kundaje/oak/projects/neuro-variants/variant_position/credible/roussos_2024/variant_figures/roussos_2024.childhood.GLU/rs10821789_profile_position.png",4,220,900)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0.0530618594</v>
      </c>
      <c r="G378" t="n">
        <v>0.1563087228842835</v>
      </c>
      <c r="H378" t="n">
        <v>0.0102559884226683</v>
      </c>
      <c r="I378" t="n">
        <v>0.6190131924852986</v>
      </c>
      <c r="J378" t="n">
        <v>0.1540162980209545</v>
      </c>
      <c r="K378" t="n">
        <v>0.1852761627283767</v>
      </c>
      <c r="L378" t="b">
        <v>0</v>
      </c>
      <c r="M378" t="b">
        <v>0</v>
      </c>
      <c r="N378" t="inlineStr">
        <is>
          <t>alt</t>
        </is>
      </c>
      <c r="O378" t="n">
        <v>80</v>
      </c>
      <c r="P378" t="n">
        <v>0.008149999999999999</v>
      </c>
      <c r="Q378" t="n">
        <v>-35</v>
      </c>
      <c r="R378" t="n">
        <v>0.04105</v>
      </c>
      <c r="S378">
        <f>IMAGE("https://mitra.stanford.edu/kundaje/oak/projects/neuro-variants/variant_position/credible/roussos_2024/variant_figures/roussos_2024.childhood.GLU/rs7915640_count_position.png",4,220,900)</f>
        <v/>
      </c>
      <c r="T378">
        <f>IMAGE("https://mitra.stanford.edu/kundaje/oak/projects/neuro-variants/variant_position/credible/roussos_2024/variant_figures/roussos_2024.childhood.GLU/rs7915640_profile_position.png",4,220,900)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-0.00027478212</v>
      </c>
      <c r="G379" t="n">
        <v>0.8451548385233945</v>
      </c>
      <c r="H379" t="n">
        <v>0.0118864991728497</v>
      </c>
      <c r="I379" t="n">
        <v>0.4595416950658192</v>
      </c>
      <c r="J379" t="n">
        <v>0.3436049326753685</v>
      </c>
      <c r="K379" t="n">
        <v>0.0811690548807948</v>
      </c>
      <c r="L379" t="b">
        <v>0</v>
      </c>
      <c r="M379" t="b">
        <v>0</v>
      </c>
      <c r="N379" t="inlineStr">
        <is>
          <t>ref</t>
        </is>
      </c>
      <c r="O379" t="n">
        <v>-100</v>
      </c>
      <c r="P379" t="n">
        <v>0.0394</v>
      </c>
      <c r="Q379" t="n">
        <v>-100</v>
      </c>
      <c r="R379" t="n">
        <v>0.2148</v>
      </c>
      <c r="S379">
        <f>IMAGE("https://mitra.stanford.edu/kundaje/oak/projects/neuro-variants/variant_position/credible/roussos_2024/variant_figures/roussos_2024.childhood.GLU/rs10740096_count_position.png",4,220,900)</f>
        <v/>
      </c>
      <c r="T379">
        <f>IMAGE("https://mitra.stanford.edu/kundaje/oak/projects/neuro-variants/variant_position/credible/roussos_2024/variant_figures/roussos_2024.childhood.GLU/rs10740096_profile_position.png",4,220,900)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-0.176587686</v>
      </c>
      <c r="G380" t="n">
        <v>0.0110004576537177</v>
      </c>
      <c r="H380" t="n">
        <v>0.0152576877213658</v>
      </c>
      <c r="I380" t="n">
        <v>0.2323166190897529</v>
      </c>
      <c r="J380" t="n">
        <v>0.0302667229851545</v>
      </c>
      <c r="K380" t="n">
        <v>0.4296957267314155</v>
      </c>
      <c r="L380" t="b">
        <v>1</v>
      </c>
      <c r="M380" t="b">
        <v>0</v>
      </c>
      <c r="N380" t="inlineStr">
        <is>
          <t>ref</t>
        </is>
      </c>
      <c r="O380" t="n">
        <v>100</v>
      </c>
      <c r="P380" t="n">
        <v>0.003729</v>
      </c>
      <c r="Q380" t="n">
        <v>100</v>
      </c>
      <c r="R380" t="n">
        <v>0.0475</v>
      </c>
      <c r="S380">
        <f>IMAGE("https://mitra.stanford.edu/kundaje/oak/projects/neuro-variants/variant_position/credible/roussos_2024/variant_figures/roussos_2024.childhood.GLU/rs10822098_count_position.png",4,220,900)</f>
        <v/>
      </c>
      <c r="T380">
        <f>IMAGE("https://mitra.stanford.edu/kundaje/oak/projects/neuro-variants/variant_position/credible/roussos_2024/variant_figures/roussos_2024.childhood.GLU/rs10822098_profile_position.png",4,220,900)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0.0556202232</v>
      </c>
      <c r="G381" t="n">
        <v>0.110512795936883</v>
      </c>
      <c r="H381" t="n">
        <v>0.0130659290025675</v>
      </c>
      <c r="I381" t="n">
        <v>0.352281580804712</v>
      </c>
      <c r="J381" t="n">
        <v>0.1566557120339559</v>
      </c>
      <c r="K381" t="n">
        <v>0.18095806502337</v>
      </c>
      <c r="L381" t="b">
        <v>0</v>
      </c>
      <c r="M381" t="b">
        <v>0</v>
      </c>
      <c r="N381" t="inlineStr">
        <is>
          <t>alt</t>
        </is>
      </c>
      <c r="O381" t="n">
        <v>-70</v>
      </c>
      <c r="P381" t="n">
        <v>0.003487</v>
      </c>
      <c r="Q381" t="n">
        <v>-50</v>
      </c>
      <c r="R381" t="n">
        <v>0.0559</v>
      </c>
      <c r="S381">
        <f>IMAGE("https://mitra.stanford.edu/kundaje/oak/projects/neuro-variants/variant_position/credible/roussos_2024/variant_figures/roussos_2024.childhood.GLU/rs10761684_count_position.png",4,220,900)</f>
        <v/>
      </c>
      <c r="T381">
        <f>IMAGE("https://mitra.stanford.edu/kundaje/oak/projects/neuro-variants/variant_position/credible/roussos_2024/variant_figures/roussos_2024.childhood.GLU/rs10761684_profile_position.png",4,220,900)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0.0285984268</v>
      </c>
      <c r="G382" t="n">
        <v>0.3487271896076341</v>
      </c>
      <c r="H382" t="n">
        <v>0.0156625059326977</v>
      </c>
      <c r="I382" t="n">
        <v>0.2210923602927494</v>
      </c>
      <c r="J382" t="n">
        <v>0.0086733905446752</v>
      </c>
      <c r="K382" t="n">
        <v>0.6192447831462057</v>
      </c>
      <c r="L382" t="b">
        <v>0</v>
      </c>
      <c r="M382" t="b">
        <v>0</v>
      </c>
      <c r="N382" t="inlineStr">
        <is>
          <t>alt</t>
        </is>
      </c>
      <c r="O382" t="n">
        <v>65</v>
      </c>
      <c r="P382" t="n">
        <v>0.01584</v>
      </c>
      <c r="Q382" t="n">
        <v>100</v>
      </c>
      <c r="R382" t="n">
        <v>0.0116</v>
      </c>
      <c r="S382">
        <f>IMAGE("https://mitra.stanford.edu/kundaje/oak/projects/neuro-variants/variant_position/credible/roussos_2024/variant_figures/roussos_2024.childhood.GLU/rs73300318_count_position.png",4,220,900)</f>
        <v/>
      </c>
      <c r="T382">
        <f>IMAGE("https://mitra.stanford.edu/kundaje/oak/projects/neuro-variants/variant_position/credible/roussos_2024/variant_figures/roussos_2024.childhood.GLU/rs73300318_profile_position.png",4,220,900)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-0.1178965491</v>
      </c>
      <c r="G383" t="n">
        <v>0.0394797610257482</v>
      </c>
      <c r="H383" t="n">
        <v>0.0208670197657979</v>
      </c>
      <c r="I383" t="n">
        <v>0.08888445591225989</v>
      </c>
      <c r="J383" t="n">
        <v>0.2518662367230881</v>
      </c>
      <c r="K383" t="n">
        <v>0.119883900736178</v>
      </c>
      <c r="L383" t="b">
        <v>0</v>
      </c>
      <c r="M383" t="b">
        <v>0</v>
      </c>
      <c r="N383" t="inlineStr">
        <is>
          <t>ref</t>
        </is>
      </c>
      <c r="O383" t="n">
        <v>-90</v>
      </c>
      <c r="P383" t="n">
        <v>0.01224</v>
      </c>
      <c r="Q383" t="n">
        <v>-85</v>
      </c>
      <c r="R383" t="n">
        <v>0.08203000000000001</v>
      </c>
      <c r="S383">
        <f>IMAGE("https://mitra.stanford.edu/kundaje/oak/projects/neuro-variants/variant_position/credible/roussos_2024/variant_figures/roussos_2024.childhood.GLU/rs10995385_count_position.png",4,220,900)</f>
        <v/>
      </c>
      <c r="T383">
        <f>IMAGE("https://mitra.stanford.edu/kundaje/oak/projects/neuro-variants/variant_position/credible/roussos_2024/variant_figures/roussos_2024.childhood.GLU/rs10995385_profile_position.png",4,220,900)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-0.0517102333999999</v>
      </c>
      <c r="G384" t="n">
        <v>0.1693769183957415</v>
      </c>
      <c r="H384" t="n">
        <v>0.0167289047907464</v>
      </c>
      <c r="I384" t="n">
        <v>0.1748003821647547</v>
      </c>
      <c r="J384" t="n">
        <v>0.0183306376008323</v>
      </c>
      <c r="K384" t="n">
        <v>0.5080269811459115</v>
      </c>
      <c r="L384" t="b">
        <v>0</v>
      </c>
      <c r="M384" t="b">
        <v>0</v>
      </c>
      <c r="N384" t="inlineStr">
        <is>
          <t>ref</t>
        </is>
      </c>
      <c r="O384" t="n">
        <v>35</v>
      </c>
      <c r="P384" t="n">
        <v>0.00415</v>
      </c>
      <c r="Q384" t="n">
        <v>50</v>
      </c>
      <c r="R384" t="n">
        <v>0.05426</v>
      </c>
      <c r="S384">
        <f>IMAGE("https://mitra.stanford.edu/kundaje/oak/projects/neuro-variants/variant_position/credible/roussos_2024/variant_figures/roussos_2024.childhood.GLU/rs113899647_count_position.png",4,220,900)</f>
        <v/>
      </c>
      <c r="T384">
        <f>IMAGE("https://mitra.stanford.edu/kundaje/oak/projects/neuro-variants/variant_position/credible/roussos_2024/variant_figures/roussos_2024.childhood.GLU/rs113899647_profile_position.png",4,220,900)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-0.009693812</v>
      </c>
      <c r="G385" t="n">
        <v>0.5224520894761183</v>
      </c>
      <c r="H385" t="n">
        <v>0.008080641302306801</v>
      </c>
      <c r="I385" t="n">
        <v>0.8658086737212863</v>
      </c>
      <c r="J385" t="n">
        <v>0.0215943626567216</v>
      </c>
      <c r="K385" t="n">
        <v>0.4801969247752692</v>
      </c>
      <c r="L385" t="b">
        <v>0</v>
      </c>
      <c r="M385" t="b">
        <v>0</v>
      </c>
      <c r="N385" t="inlineStr">
        <is>
          <t>ref</t>
        </is>
      </c>
      <c r="O385" t="n">
        <v>70</v>
      </c>
      <c r="P385" t="n">
        <v>0.004707</v>
      </c>
      <c r="Q385" t="n">
        <v>65</v>
      </c>
      <c r="R385" t="n">
        <v>0.1249</v>
      </c>
      <c r="S385">
        <f>IMAGE("https://mitra.stanford.edu/kundaje/oak/projects/neuro-variants/variant_position/credible/roussos_2024/variant_figures/roussos_2024.childhood.GLU/rs59113396_count_position.png",4,220,900)</f>
        <v/>
      </c>
      <c r="T385">
        <f>IMAGE("https://mitra.stanford.edu/kundaje/oak/projects/neuro-variants/variant_position/credible/roussos_2024/variant_figures/roussos_2024.childhood.GLU/rs59113396_profile_position.png",4,220,900)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-0.08792467579999989</v>
      </c>
      <c r="G386" t="n">
        <v>0.06328233121036519</v>
      </c>
      <c r="H386" t="n">
        <v>0.021237771140867</v>
      </c>
      <c r="I386" t="n">
        <v>0.07841446914632171</v>
      </c>
      <c r="J386" t="n">
        <v>0.09633655104206371</v>
      </c>
      <c r="K386" t="n">
        <v>0.256442928725491</v>
      </c>
      <c r="L386" t="b">
        <v>0</v>
      </c>
      <c r="M386" t="b">
        <v>0</v>
      </c>
      <c r="N386" t="inlineStr">
        <is>
          <t>ref</t>
        </is>
      </c>
      <c r="O386" t="n">
        <v>-25</v>
      </c>
      <c r="P386" t="n">
        <v>0.00767</v>
      </c>
      <c r="Q386" t="n">
        <v>-40</v>
      </c>
      <c r="R386" t="n">
        <v>0.02881</v>
      </c>
      <c r="S386">
        <f>IMAGE("https://mitra.stanford.edu/kundaje/oak/projects/neuro-variants/variant_position/credible/roussos_2024/variant_figures/roussos_2024.childhood.GLU/rs16918239_count_position.png",4,220,900)</f>
        <v/>
      </c>
      <c r="T386">
        <f>IMAGE("https://mitra.stanford.edu/kundaje/oak/projects/neuro-variants/variant_position/credible/roussos_2024/variant_figures/roussos_2024.childhood.GLU/rs16918239_profile_position.png",4,220,900)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-0.12774835</v>
      </c>
      <c r="G387" t="n">
        <v>0.0264421207096078</v>
      </c>
      <c r="H387" t="n">
        <v>0.0170058918856579</v>
      </c>
      <c r="I387" t="n">
        <v>0.1662183530473258</v>
      </c>
      <c r="J387" t="n">
        <v>0.08659894711900019</v>
      </c>
      <c r="K387" t="n">
        <v>0.2663363593667981</v>
      </c>
      <c r="L387" t="b">
        <v>0</v>
      </c>
      <c r="M387" t="b">
        <v>0</v>
      </c>
      <c r="N387" t="inlineStr">
        <is>
          <t>ref</t>
        </is>
      </c>
      <c r="O387" t="n">
        <v>-55</v>
      </c>
      <c r="P387" t="n">
        <v>0.004272</v>
      </c>
      <c r="Q387" t="n">
        <v>-75</v>
      </c>
      <c r="R387" t="n">
        <v>0.0713</v>
      </c>
      <c r="S387">
        <f>IMAGE("https://mitra.stanford.edu/kundaje/oak/projects/neuro-variants/variant_position/credible/roussos_2024/variant_figures/roussos_2024.childhood.GLU/rs74557321_count_position.png",4,220,900)</f>
        <v/>
      </c>
      <c r="T387">
        <f>IMAGE("https://mitra.stanford.edu/kundaje/oak/projects/neuro-variants/variant_position/credible/roussos_2024/variant_figures/roussos_2024.childhood.GLU/rs74557321_profile_position.png",4,220,900)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-0.00727920616</v>
      </c>
      <c r="G388" t="n">
        <v>0.6312957658128139</v>
      </c>
      <c r="H388" t="n">
        <v>0.0257404188153044</v>
      </c>
      <c r="I388" t="n">
        <v>0.0394527685709844</v>
      </c>
      <c r="J388" t="n">
        <v>0.0048337746092904</v>
      </c>
      <c r="K388" t="n">
        <v>0.6799387186260557</v>
      </c>
      <c r="L388" t="b">
        <v>0</v>
      </c>
      <c r="M388" t="b">
        <v>0</v>
      </c>
      <c r="N388" t="inlineStr">
        <is>
          <t>ref</t>
        </is>
      </c>
      <c r="O388" t="n">
        <v>-55</v>
      </c>
      <c r="P388" t="n">
        <v>0.00583</v>
      </c>
      <c r="Q388" t="n">
        <v>-75</v>
      </c>
      <c r="R388" t="n">
        <v>0.1133</v>
      </c>
      <c r="S388">
        <f>IMAGE("https://mitra.stanford.edu/kundaje/oak/projects/neuro-variants/variant_position/credible/roussos_2024/variant_figures/roussos_2024.childhood.GLU/rs112637649_count_position.png",4,220,900)</f>
        <v/>
      </c>
      <c r="T388">
        <f>IMAGE("https://mitra.stanford.edu/kundaje/oak/projects/neuro-variants/variant_position/credible/roussos_2024/variant_figures/roussos_2024.childhood.GLU/rs112637649_profile_position.png",4,220,900)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-0.00186790664</v>
      </c>
      <c r="G389" t="n">
        <v>0.6541477575576946</v>
      </c>
      <c r="H389" t="n">
        <v>0.0434873160391969</v>
      </c>
      <c r="I389" t="n">
        <v>0.0046756807915589</v>
      </c>
      <c r="J389" t="n">
        <v>0.0048224422306241</v>
      </c>
      <c r="K389" t="n">
        <v>0.6891162710173812</v>
      </c>
      <c r="L389" t="b">
        <v>0</v>
      </c>
      <c r="M389" t="b">
        <v>0</v>
      </c>
      <c r="N389" t="inlineStr">
        <is>
          <t>ref</t>
        </is>
      </c>
      <c r="O389" t="n">
        <v>-90</v>
      </c>
      <c r="P389" t="n">
        <v>0.02531</v>
      </c>
      <c r="Q389" t="n">
        <v>-70</v>
      </c>
      <c r="R389" t="n">
        <v>0.1117</v>
      </c>
      <c r="S389">
        <f>IMAGE("https://mitra.stanford.edu/kundaje/oak/projects/neuro-variants/variant_position/credible/roussos_2024/variant_figures/roussos_2024.childhood.GLU/rs76032436_count_position.png",4,220,900)</f>
        <v/>
      </c>
      <c r="T389">
        <f>IMAGE("https://mitra.stanford.edu/kundaje/oak/projects/neuro-variants/variant_position/credible/roussos_2024/variant_figures/roussos_2024.childhood.GLU/rs76032436_profile_position.png",4,220,900)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-0.0523037943999999</v>
      </c>
      <c r="G390" t="n">
        <v>0.1783116254484203</v>
      </c>
      <c r="H390" t="n">
        <v>0.03122590943102</v>
      </c>
      <c r="I390" t="n">
        <v>0.018391081299226</v>
      </c>
      <c r="J390" t="n">
        <v>0.0616862579455427</v>
      </c>
      <c r="K390" t="n">
        <v>0.317974008915923</v>
      </c>
      <c r="L390" t="b">
        <v>1</v>
      </c>
      <c r="M390" t="b">
        <v>0</v>
      </c>
      <c r="N390" t="inlineStr">
        <is>
          <t>ref</t>
        </is>
      </c>
      <c r="O390" t="n">
        <v>-20</v>
      </c>
      <c r="P390" t="n">
        <v>0.001312</v>
      </c>
      <c r="Q390" t="n">
        <v>25</v>
      </c>
      <c r="R390" t="n">
        <v>0.01758</v>
      </c>
      <c r="S390">
        <f>IMAGE("https://mitra.stanford.edu/kundaje/oak/projects/neuro-variants/variant_position/credible/roussos_2024/variant_figures/roussos_2024.childhood.GLU/rs76460998_count_position.png",4,220,900)</f>
        <v/>
      </c>
      <c r="T390">
        <f>IMAGE("https://mitra.stanford.edu/kundaje/oak/projects/neuro-variants/variant_position/credible/roussos_2024/variant_figures/roussos_2024.childhood.GLU/rs76460998_profile_position.png",4,220,900)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0.0410552158</v>
      </c>
      <c r="G391" t="n">
        <v>0.2343453376266788</v>
      </c>
      <c r="H391" t="n">
        <v>0.0184272578485919</v>
      </c>
      <c r="I391" t="n">
        <v>0.1309487619203562</v>
      </c>
      <c r="J391" t="n">
        <v>0.0010116723500262</v>
      </c>
      <c r="K391" t="n">
        <v>0.8199622229415633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0.00354</v>
      </c>
      <c r="Q391" t="n">
        <v>-30</v>
      </c>
      <c r="R391" t="n">
        <v>0.03314</v>
      </c>
      <c r="S391">
        <f>IMAGE("https://mitra.stanford.edu/kundaje/oak/projects/neuro-variants/variant_position/credible/roussos_2024/variant_figures/roussos_2024.childhood.GLU/rs58429288_count_position.png",4,220,900)</f>
        <v/>
      </c>
      <c r="T391">
        <f>IMAGE("https://mitra.stanford.edu/kundaje/oak/projects/neuro-variants/variant_position/credible/roussos_2024/variant_figures/roussos_2024.childhood.GLU/rs58429288_profile_position.png",4,220,900)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-0.01490250107</v>
      </c>
      <c r="G392" t="n">
        <v>0.5616074841924934</v>
      </c>
      <c r="H392" t="n">
        <v>0.0103502403582937</v>
      </c>
      <c r="I392" t="n">
        <v>0.6264816070450026</v>
      </c>
      <c r="J392" t="n">
        <v>0.3805866051284164</v>
      </c>
      <c r="K392" t="n">
        <v>0.0693081510234116</v>
      </c>
      <c r="L392" t="b">
        <v>0</v>
      </c>
      <c r="M392" t="b">
        <v>0</v>
      </c>
      <c r="N392" t="inlineStr">
        <is>
          <t>ref</t>
        </is>
      </c>
      <c r="O392" t="n">
        <v>65</v>
      </c>
      <c r="P392" t="n">
        <v>0.006992</v>
      </c>
      <c r="Q392" t="n">
        <v>-95</v>
      </c>
      <c r="R392" t="n">
        <v>0.1951</v>
      </c>
      <c r="S392">
        <f>IMAGE("https://mitra.stanford.edu/kundaje/oak/projects/neuro-variants/variant_position/credible/roussos_2024/variant_figures/roussos_2024.childhood.GLU/rs112188494_count_position.png",4,220,900)</f>
        <v/>
      </c>
      <c r="T392">
        <f>IMAGE("https://mitra.stanford.edu/kundaje/oak/projects/neuro-variants/variant_position/credible/roussos_2024/variant_figures/roussos_2024.childhood.GLU/rs112188494_profile_position.png",4,220,900)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-0.5649392599999999</v>
      </c>
      <c r="G393" t="n">
        <v>0.0001663369929144</v>
      </c>
      <c r="H393" t="n">
        <v>0.1248445443281158</v>
      </c>
      <c r="I393" t="n">
        <v>9.63093560736671e-05</v>
      </c>
      <c r="J393" t="n">
        <v>0.0452810945017358</v>
      </c>
      <c r="K393" t="n">
        <v>0.3854888664063701</v>
      </c>
      <c r="L393" t="b">
        <v>1</v>
      </c>
      <c r="M393" t="b">
        <v>1</v>
      </c>
      <c r="N393" t="inlineStr">
        <is>
          <t>ref</t>
        </is>
      </c>
      <c r="O393" t="n">
        <v>40</v>
      </c>
      <c r="P393" t="n">
        <v>0.002686</v>
      </c>
      <c r="Q393" t="n">
        <v>95</v>
      </c>
      <c r="R393" t="n">
        <v>0.05615</v>
      </c>
      <c r="S393">
        <f>IMAGE("https://mitra.stanford.edu/kundaje/oak/projects/neuro-variants/variant_position/credible/roussos_2024/variant_figures/roussos_2024.childhood.GLU/rs78005057_count_position.png",4,220,900)</f>
        <v/>
      </c>
      <c r="T393">
        <f>IMAGE("https://mitra.stanford.edu/kundaje/oak/projects/neuro-variants/variant_position/credible/roussos_2024/variant_figures/roussos_2024.childhood.GLU/rs78005057_profile_position.png",4,220,900)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-0.03187532</v>
      </c>
      <c r="G394" t="n">
        <v>0.3252015559977682</v>
      </c>
      <c r="H394" t="n">
        <v>0.0114940881051141</v>
      </c>
      <c r="I394" t="n">
        <v>0.4981403998803119</v>
      </c>
      <c r="J394" t="n">
        <v>0.0109862260088392</v>
      </c>
      <c r="K394" t="n">
        <v>0.5741556960823968</v>
      </c>
      <c r="L394" t="b">
        <v>0</v>
      </c>
      <c r="M394" t="b">
        <v>0</v>
      </c>
      <c r="N394" t="inlineStr">
        <is>
          <t>ref</t>
        </is>
      </c>
      <c r="O394" t="n">
        <v>40</v>
      </c>
      <c r="P394" t="n">
        <v>0.00275</v>
      </c>
      <c r="Q394" t="n">
        <v>100</v>
      </c>
      <c r="R394" t="n">
        <v>0.1287</v>
      </c>
      <c r="S394">
        <f>IMAGE("https://mitra.stanford.edu/kundaje/oak/projects/neuro-variants/variant_position/credible/roussos_2024/variant_figures/roussos_2024.childhood.GLU/rs10822313_count_position.png",4,220,900)</f>
        <v/>
      </c>
      <c r="T394">
        <f>IMAGE("https://mitra.stanford.edu/kundaje/oak/projects/neuro-variants/variant_position/credible/roussos_2024/variant_figures/roussos_2024.childhood.GLU/rs10822313_profile_position.png",4,220,900)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-0.0785314028</v>
      </c>
      <c r="G395" t="n">
        <v>0.0821543286499728</v>
      </c>
      <c r="H395" t="n">
        <v>0.0157713583255543</v>
      </c>
      <c r="I395" t="n">
        <v>0.2107727902413192</v>
      </c>
      <c r="J395" t="n">
        <v>0.3524122513315544</v>
      </c>
      <c r="K395" t="n">
        <v>0.0783792558316852</v>
      </c>
      <c r="L395" t="b">
        <v>0</v>
      </c>
      <c r="M395" t="b">
        <v>0</v>
      </c>
      <c r="N395" t="inlineStr">
        <is>
          <t>ref</t>
        </is>
      </c>
      <c r="O395" t="n">
        <v>100</v>
      </c>
      <c r="P395" t="n">
        <v>0.002193</v>
      </c>
      <c r="Q395" t="n">
        <v>-30</v>
      </c>
      <c r="R395" t="n">
        <v>0.0376</v>
      </c>
      <c r="S395">
        <f>IMAGE("https://mitra.stanford.edu/kundaje/oak/projects/neuro-variants/variant_position/credible/roussos_2024/variant_figures/roussos_2024.childhood.GLU/rs3999058_count_position.png",4,220,900)</f>
        <v/>
      </c>
      <c r="T395">
        <f>IMAGE("https://mitra.stanford.edu/kundaje/oak/projects/neuro-variants/variant_position/credible/roussos_2024/variant_figures/roussos_2024.childhood.GLU/rs3999058_profile_position.png",4,220,900)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-0.0586801452</v>
      </c>
      <c r="G396" t="n">
        <v>0.1413239582817048</v>
      </c>
      <c r="H396" t="n">
        <v>0.0108931515046201</v>
      </c>
      <c r="I396" t="n">
        <v>0.5414057656552498</v>
      </c>
      <c r="J396" t="n">
        <v>0.163386114745485</v>
      </c>
      <c r="K396" t="n">
        <v>0.1755961860874376</v>
      </c>
      <c r="L396" t="b">
        <v>0</v>
      </c>
      <c r="M396" t="b">
        <v>0</v>
      </c>
      <c r="N396" t="inlineStr">
        <is>
          <t>ref</t>
        </is>
      </c>
      <c r="O396" t="n">
        <v>-95</v>
      </c>
      <c r="P396" t="n">
        <v>0.00872</v>
      </c>
      <c r="Q396" t="n">
        <v>-100</v>
      </c>
      <c r="R396" t="n">
        <v>0.02673</v>
      </c>
      <c r="S396">
        <f>IMAGE("https://mitra.stanford.edu/kundaje/oak/projects/neuro-variants/variant_position/credible/roussos_2024/variant_figures/roussos_2024.childhood.GLU/rs2394090_count_position.png",4,220,900)</f>
        <v/>
      </c>
      <c r="T396">
        <f>IMAGE("https://mitra.stanford.edu/kundaje/oak/projects/neuro-variants/variant_position/credible/roussos_2024/variant_figures/roussos_2024.childhood.GLU/rs2394090_profile_position.png",4,220,900)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0.1859229432</v>
      </c>
      <c r="G397" t="n">
        <v>0.0137452201137519</v>
      </c>
      <c r="H397" t="n">
        <v>0.0356035238976501</v>
      </c>
      <c r="I397" t="n">
        <v>0.0138626450088431</v>
      </c>
      <c r="J397" t="n">
        <v>0.0048090494194731</v>
      </c>
      <c r="K397" t="n">
        <v>0.6825569762764043</v>
      </c>
      <c r="L397" t="b">
        <v>1</v>
      </c>
      <c r="M397" t="b">
        <v>0</v>
      </c>
      <c r="N397" t="inlineStr">
        <is>
          <t>alt</t>
        </is>
      </c>
      <c r="O397" t="n">
        <v>35</v>
      </c>
      <c r="P397" t="n">
        <v>0.007202</v>
      </c>
      <c r="Q397" t="n">
        <v>45</v>
      </c>
      <c r="R397" t="n">
        <v>0.0702</v>
      </c>
      <c r="S397">
        <f>IMAGE("https://mitra.stanford.edu/kundaje/oak/projects/neuro-variants/variant_position/credible/roussos_2024/variant_figures/roussos_2024.childhood.GLU/rs10822315_count_position.png",4,220,900)</f>
        <v/>
      </c>
      <c r="T397">
        <f>IMAGE("https://mitra.stanford.edu/kundaje/oak/projects/neuro-variants/variant_position/credible/roussos_2024/variant_figures/roussos_2024.childhood.GLU/rs10822315_profile_position.png",4,220,900)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-0.0462214919999999</v>
      </c>
      <c r="G398" t="n">
        <v>0.2017499619602133</v>
      </c>
      <c r="H398" t="n">
        <v>0.0105006405815454</v>
      </c>
      <c r="I398" t="n">
        <v>0.6050979582542678</v>
      </c>
      <c r="J398" t="n">
        <v>0.2134875910453603</v>
      </c>
      <c r="K398" t="n">
        <v>0.1388340507101617</v>
      </c>
      <c r="L398" t="b">
        <v>0</v>
      </c>
      <c r="M398" t="b">
        <v>0</v>
      </c>
      <c r="N398" t="inlineStr">
        <is>
          <t>ref</t>
        </is>
      </c>
      <c r="O398" t="n">
        <v>-5</v>
      </c>
      <c r="P398" t="n">
        <v>0.0002022</v>
      </c>
      <c r="Q398" t="n">
        <v>-85</v>
      </c>
      <c r="R398" t="n">
        <v>0.03268</v>
      </c>
      <c r="S398">
        <f>IMAGE("https://mitra.stanford.edu/kundaje/oak/projects/neuro-variants/variant_position/credible/roussos_2024/variant_figures/roussos_2024.childhood.GLU/rs56023698_count_position.png",4,220,900)</f>
        <v/>
      </c>
      <c r="T398">
        <f>IMAGE("https://mitra.stanford.edu/kundaje/oak/projects/neuro-variants/variant_position/credible/roussos_2024/variant_figures/roussos_2024.childhood.GLU/rs56023698_profile_position.png",4,220,900)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0.0179697911999999</v>
      </c>
      <c r="G399" t="n">
        <v>0.4829761485245589</v>
      </c>
      <c r="H399" t="n">
        <v>0.0161948061705844</v>
      </c>
      <c r="I399" t="n">
        <v>0.1958536061752992</v>
      </c>
      <c r="J399" t="n">
        <v>0.0028289738016009</v>
      </c>
      <c r="K399" t="n">
        <v>0.7335626332621296</v>
      </c>
      <c r="L399" t="b">
        <v>0</v>
      </c>
      <c r="M399" t="b">
        <v>0</v>
      </c>
      <c r="N399" t="inlineStr">
        <is>
          <t>alt</t>
        </is>
      </c>
      <c r="O399" t="n">
        <v>-95</v>
      </c>
      <c r="P399" t="n">
        <v>0.00821</v>
      </c>
      <c r="Q399" t="n">
        <v>-5</v>
      </c>
      <c r="R399" t="n">
        <v>0.003601</v>
      </c>
      <c r="S399">
        <f>IMAGE("https://mitra.stanford.edu/kundaje/oak/projects/neuro-variants/variant_position/credible/roussos_2024/variant_figures/roussos_2024.childhood.GLU/rs76523509_count_position.png",4,220,900)</f>
        <v/>
      </c>
      <c r="T399">
        <f>IMAGE("https://mitra.stanford.edu/kundaje/oak/projects/neuro-variants/variant_position/credible/roussos_2024/variant_figures/roussos_2024.childhood.GLU/rs76523509_profile_position.png",4,220,900)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-0.039027104</v>
      </c>
      <c r="G400" t="n">
        <v>0.2711017483021152</v>
      </c>
      <c r="H400" t="n">
        <v>0.0105993907214593</v>
      </c>
      <c r="I400" t="n">
        <v>0.5871805256433856</v>
      </c>
      <c r="J400" t="n">
        <v>0.0026692902840305</v>
      </c>
      <c r="K400" t="n">
        <v>0.743927933761423</v>
      </c>
      <c r="L400" t="b">
        <v>0</v>
      </c>
      <c r="M400" t="b">
        <v>0</v>
      </c>
      <c r="N400" t="inlineStr">
        <is>
          <t>ref</t>
        </is>
      </c>
      <c r="O400" t="n">
        <v>-100</v>
      </c>
      <c r="P400" t="n">
        <v>0.00413</v>
      </c>
      <c r="Q400" t="n">
        <v>-100</v>
      </c>
      <c r="R400" t="n">
        <v>0.05032</v>
      </c>
      <c r="S400">
        <f>IMAGE("https://mitra.stanford.edu/kundaje/oak/projects/neuro-variants/variant_position/credible/roussos_2024/variant_figures/roussos_2024.childhood.GLU/rs60020658_count_position.png",4,220,900)</f>
        <v/>
      </c>
      <c r="T400">
        <f>IMAGE("https://mitra.stanford.edu/kundaje/oak/projects/neuro-variants/variant_position/credible/roussos_2024/variant_figures/roussos_2024.childhood.GLU/rs60020658_profile_position.png",4,220,900)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-0.01270170768</v>
      </c>
      <c r="G401" t="n">
        <v>0.6048081042115937</v>
      </c>
      <c r="H401" t="n">
        <v>0.0309767589865584</v>
      </c>
      <c r="I401" t="n">
        <v>0.0184969458334872</v>
      </c>
      <c r="J401" t="n">
        <v>0.0488518239978571</v>
      </c>
      <c r="K401" t="n">
        <v>0.3551266247940031</v>
      </c>
      <c r="L401" t="b">
        <v>1</v>
      </c>
      <c r="M401" t="b">
        <v>0</v>
      </c>
      <c r="N401" t="inlineStr">
        <is>
          <t>ref</t>
        </is>
      </c>
      <c r="O401" t="n">
        <v>100</v>
      </c>
      <c r="P401" t="n">
        <v>0.01016</v>
      </c>
      <c r="Q401" t="n">
        <v>60</v>
      </c>
      <c r="R401" t="n">
        <v>0.04803</v>
      </c>
      <c r="S401">
        <f>IMAGE("https://mitra.stanford.edu/kundaje/oak/projects/neuro-variants/variant_position/credible/roussos_2024/variant_figures/roussos_2024.childhood.GLU/rs4919647_count_position.png",4,220,900)</f>
        <v/>
      </c>
      <c r="T401">
        <f>IMAGE("https://mitra.stanford.edu/kundaje/oak/projects/neuro-variants/variant_position/credible/roussos_2024/variant_figures/roussos_2024.childhood.GLU/rs4919647_profile_position.png",4,220,900)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0.0343111896</v>
      </c>
      <c r="G402" t="n">
        <v>0.3014034680722448</v>
      </c>
      <c r="H402" t="n">
        <v>0.0267798688605366</v>
      </c>
      <c r="I402" t="n">
        <v>0.0369655238449493</v>
      </c>
      <c r="J402" t="n">
        <v>0.1093183059124109</v>
      </c>
      <c r="K402" t="n">
        <v>0.2329068653079309</v>
      </c>
      <c r="L402" t="b">
        <v>0</v>
      </c>
      <c r="M402" t="b">
        <v>0</v>
      </c>
      <c r="N402" t="inlineStr">
        <is>
          <t>alt</t>
        </is>
      </c>
      <c r="O402" t="n">
        <v>55</v>
      </c>
      <c r="P402" t="n">
        <v>0.00618</v>
      </c>
      <c r="Q402" t="n">
        <v>-100</v>
      </c>
      <c r="R402" t="n">
        <v>0.10126</v>
      </c>
      <c r="S402">
        <f>IMAGE("https://mitra.stanford.edu/kundaje/oak/projects/neuro-variants/variant_position/credible/roussos_2024/variant_figures/roussos_2024.childhood.GLU/rs4919652_count_position.png",4,220,900)</f>
        <v/>
      </c>
      <c r="T402">
        <f>IMAGE("https://mitra.stanford.edu/kundaje/oak/projects/neuro-variants/variant_position/credible/roussos_2024/variant_figures/roussos_2024.childhood.GLU/rs4919652_profile_position.png",4,220,900)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-0.0327228006</v>
      </c>
      <c r="G403" t="n">
        <v>0.3196557704697498</v>
      </c>
      <c r="H403" t="n">
        <v>0.0163646760888669</v>
      </c>
      <c r="I403" t="n">
        <v>0.1904675428212578</v>
      </c>
      <c r="J403" t="n">
        <v>0.073532714516777</v>
      </c>
      <c r="K403" t="n">
        <v>0.2956371624465687</v>
      </c>
      <c r="L403" t="b">
        <v>0</v>
      </c>
      <c r="M403" t="b">
        <v>0</v>
      </c>
      <c r="N403" t="inlineStr">
        <is>
          <t>ref</t>
        </is>
      </c>
      <c r="O403" t="n">
        <v>65</v>
      </c>
      <c r="P403" t="n">
        <v>0.008489999999999999</v>
      </c>
      <c r="Q403" t="n">
        <v>65</v>
      </c>
      <c r="R403" t="n">
        <v>0.08057</v>
      </c>
      <c r="S403">
        <f>IMAGE("https://mitra.stanford.edu/kundaje/oak/projects/neuro-variants/variant_position/credible/roussos_2024/variant_figures/roussos_2024.childhood.GLU/rs2145307_count_position.png",4,220,900)</f>
        <v/>
      </c>
      <c r="T403">
        <f>IMAGE("https://mitra.stanford.edu/kundaje/oak/projects/neuro-variants/variant_position/credible/roussos_2024/variant_figures/roussos_2024.childhood.GLU/rs2145307_profile_position.png",4,220,900)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-0.01157011236</v>
      </c>
      <c r="G404" t="n">
        <v>0.64846424902601</v>
      </c>
      <c r="H404" t="n">
        <v>0.0436882248024118</v>
      </c>
      <c r="I404" t="n">
        <v>0.0047092507107008</v>
      </c>
      <c r="J404" t="n">
        <v>0.0187076967455468</v>
      </c>
      <c r="K404" t="n">
        <v>0.504636372961039</v>
      </c>
      <c r="L404" t="b">
        <v>1</v>
      </c>
      <c r="M404" t="b">
        <v>0</v>
      </c>
      <c r="N404" t="inlineStr">
        <is>
          <t>ref</t>
        </is>
      </c>
      <c r="O404" t="n">
        <v>85</v>
      </c>
      <c r="P404" t="n">
        <v>0.0182</v>
      </c>
      <c r="Q404" t="n">
        <v>85</v>
      </c>
      <c r="R404" t="n">
        <v>0.1222</v>
      </c>
      <c r="S404">
        <f>IMAGE("https://mitra.stanford.edu/kundaje/oak/projects/neuro-variants/variant_position/credible/roussos_2024/variant_figures/roussos_2024.childhood.GLU/rs10883740_count_position.png",4,220,900)</f>
        <v/>
      </c>
      <c r="T404">
        <f>IMAGE("https://mitra.stanford.edu/kundaje/oak/projects/neuro-variants/variant_position/credible/roussos_2024/variant_figures/roussos_2024.childhood.GLU/rs10883740_profile_position.png",4,220,900)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-0.0290025736</v>
      </c>
      <c r="G405" t="n">
        <v>0.3558873007270017</v>
      </c>
      <c r="H405" t="n">
        <v>0.0223440467091145</v>
      </c>
      <c r="I405" t="n">
        <v>0.0654805503871197</v>
      </c>
      <c r="J405" t="n">
        <v>0.3680056043763585</v>
      </c>
      <c r="K405" t="n">
        <v>0.07313419453117501</v>
      </c>
      <c r="L405" t="b">
        <v>0</v>
      </c>
      <c r="M405" t="b">
        <v>0</v>
      </c>
      <c r="N405" t="inlineStr">
        <is>
          <t>ref</t>
        </is>
      </c>
      <c r="O405" t="n">
        <v>20</v>
      </c>
      <c r="P405" t="n">
        <v>0.001068</v>
      </c>
      <c r="Q405" t="n">
        <v>100</v>
      </c>
      <c r="R405" t="n">
        <v>0.08740000000000001</v>
      </c>
      <c r="S405">
        <f>IMAGE("https://mitra.stanford.edu/kundaje/oak/projects/neuro-variants/variant_position/credible/roussos_2024/variant_figures/roussos_2024.childhood.GLU/rs74558061_count_position.png",4,220,900)</f>
        <v/>
      </c>
      <c r="T405">
        <f>IMAGE("https://mitra.stanford.edu/kundaje/oak/projects/neuro-variants/variant_position/credible/roussos_2024/variant_figures/roussos_2024.childhood.GLU/rs74558061_profile_position.png",4,220,900)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-0.0045380916519999</v>
      </c>
      <c r="G406" t="n">
        <v>0.8362761337964896</v>
      </c>
      <c r="H406" t="n">
        <v>0.0252055058321482</v>
      </c>
      <c r="I406" t="n">
        <v>0.0416173984337454</v>
      </c>
      <c r="J406" t="n">
        <v>0.2064460630286297</v>
      </c>
      <c r="K406" t="n">
        <v>0.1431306882790935</v>
      </c>
      <c r="L406" t="b">
        <v>0</v>
      </c>
      <c r="M406" t="b">
        <v>0</v>
      </c>
      <c r="N406" t="inlineStr">
        <is>
          <t>ref</t>
        </is>
      </c>
      <c r="O406" t="n">
        <v>85</v>
      </c>
      <c r="P406" t="n">
        <v>0.007805</v>
      </c>
      <c r="Q406" t="n">
        <v>100</v>
      </c>
      <c r="R406" t="n">
        <v>0.0856</v>
      </c>
      <c r="S406">
        <f>IMAGE("https://mitra.stanford.edu/kundaje/oak/projects/neuro-variants/variant_position/credible/roussos_2024/variant_figures/roussos_2024.childhood.GLU/rs10883761_count_position.png",4,220,900)</f>
        <v/>
      </c>
      <c r="T406">
        <f>IMAGE("https://mitra.stanford.edu/kundaje/oak/projects/neuro-variants/variant_position/credible/roussos_2024/variant_figures/roussos_2024.childhood.GLU/rs10883761_profile_position.png",4,220,900)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0.008708381948000001</v>
      </c>
      <c r="G407" t="n">
        <v>0.6906905217273699</v>
      </c>
      <c r="H407" t="n">
        <v>0.0069722513318637</v>
      </c>
      <c r="I407" t="n">
        <v>0.949270703757245</v>
      </c>
      <c r="J407" t="n">
        <v>0.1840110439181183</v>
      </c>
      <c r="K407" t="n">
        <v>0.160959017035267</v>
      </c>
      <c r="L407" t="b">
        <v>0</v>
      </c>
      <c r="M407" t="b">
        <v>0</v>
      </c>
      <c r="N407" t="inlineStr">
        <is>
          <t>alt</t>
        </is>
      </c>
      <c r="O407" t="n">
        <v>15</v>
      </c>
      <c r="P407" t="n">
        <v>0.000944</v>
      </c>
      <c r="Q407" t="n">
        <v>80</v>
      </c>
      <c r="R407" t="n">
        <v>0.04742</v>
      </c>
      <c r="S407">
        <f>IMAGE("https://mitra.stanford.edu/kundaje/oak/projects/neuro-variants/variant_position/credible/roussos_2024/variant_figures/roussos_2024.childhood.GLU/rs884825_count_position.png",4,220,900)</f>
        <v/>
      </c>
      <c r="T407">
        <f>IMAGE("https://mitra.stanford.edu/kundaje/oak/projects/neuro-variants/variant_position/credible/roussos_2024/variant_figures/roussos_2024.childhood.GLU/rs884825_profile_position.png",4,220,900)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0.0063488667799999</v>
      </c>
      <c r="G408" t="n">
        <v>0.7385646823561092</v>
      </c>
      <c r="H408" t="n">
        <v>0.0285103299436409</v>
      </c>
      <c r="I408" t="n">
        <v>0.0257509536618118</v>
      </c>
      <c r="J408" t="n">
        <v>0.1305150050995703</v>
      </c>
      <c r="K408" t="n">
        <v>0.2087748967535007</v>
      </c>
      <c r="L408" t="b">
        <v>0</v>
      </c>
      <c r="M408" t="b">
        <v>0</v>
      </c>
      <c r="N408" t="inlineStr">
        <is>
          <t>alt</t>
        </is>
      </c>
      <c r="O408" t="n">
        <v>95</v>
      </c>
      <c r="P408" t="n">
        <v>0.02853</v>
      </c>
      <c r="Q408" t="n">
        <v>85</v>
      </c>
      <c r="R408" t="n">
        <v>0.2458</v>
      </c>
      <c r="S408">
        <f>IMAGE("https://mitra.stanford.edu/kundaje/oak/projects/neuro-variants/variant_position/credible/roussos_2024/variant_figures/roussos_2024.childhood.GLU/rs4919669_count_position.png",4,220,900)</f>
        <v/>
      </c>
      <c r="T408">
        <f>IMAGE("https://mitra.stanford.edu/kundaje/oak/projects/neuro-variants/variant_position/credible/roussos_2024/variant_figures/roussos_2024.childhood.GLU/rs4919669_profile_position.png",4,220,900)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-0.061883526</v>
      </c>
      <c r="G409" t="n">
        <v>0.1372851839692682</v>
      </c>
      <c r="H409" t="n">
        <v>0.0100417026916081</v>
      </c>
      <c r="I409" t="n">
        <v>0.6522714130214294</v>
      </c>
      <c r="J409" t="n">
        <v>0.375305716669929</v>
      </c>
      <c r="K409" t="n">
        <v>0.07150233061057359</v>
      </c>
      <c r="L409" t="b">
        <v>0</v>
      </c>
      <c r="M409" t="b">
        <v>0</v>
      </c>
      <c r="N409" t="inlineStr">
        <is>
          <t>ref</t>
        </is>
      </c>
      <c r="O409" t="n">
        <v>-100</v>
      </c>
      <c r="P409" t="n">
        <v>0.009889999999999999</v>
      </c>
      <c r="Q409" t="n">
        <v>65</v>
      </c>
      <c r="R409" t="n">
        <v>0.05115</v>
      </c>
      <c r="S409">
        <f>IMAGE("https://mitra.stanford.edu/kundaje/oak/projects/neuro-variants/variant_position/credible/roussos_2024/variant_figures/roussos_2024.childhood.GLU/rs999867_count_position.png",4,220,900)</f>
        <v/>
      </c>
      <c r="T409">
        <f>IMAGE("https://mitra.stanford.edu/kundaje/oak/projects/neuro-variants/variant_position/credible/roussos_2024/variant_figures/roussos_2024.childhood.GLU/rs999867_profile_position.png",4,220,900)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0.019741804</v>
      </c>
      <c r="G410" t="n">
        <v>0.4613884571853763</v>
      </c>
      <c r="H410" t="n">
        <v>0.0403702641854928</v>
      </c>
      <c r="I410" t="n">
        <v>0.0067124694109249</v>
      </c>
      <c r="J410" t="n">
        <v>0.1955546169140902</v>
      </c>
      <c r="K410" t="n">
        <v>0.151885091214425</v>
      </c>
      <c r="L410" t="b">
        <v>1</v>
      </c>
      <c r="M410" t="b">
        <v>1</v>
      </c>
      <c r="N410" t="inlineStr">
        <is>
          <t>alt</t>
        </is>
      </c>
      <c r="O410" t="n">
        <v>75</v>
      </c>
      <c r="P410" t="n">
        <v>0.009705</v>
      </c>
      <c r="Q410" t="n">
        <v>75</v>
      </c>
      <c r="R410" t="n">
        <v>0.1447</v>
      </c>
      <c r="S410">
        <f>IMAGE("https://mitra.stanford.edu/kundaje/oak/projects/neuro-variants/variant_position/credible/roussos_2024/variant_figures/roussos_2024.childhood.GLU/rs10786709_count_position.png",4,220,900)</f>
        <v/>
      </c>
      <c r="T410">
        <f>IMAGE("https://mitra.stanford.edu/kundaje/oak/projects/neuro-variants/variant_position/credible/roussos_2024/variant_figures/roussos_2024.childhood.GLU/rs10786709_profile_position.png",4,220,900)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0.00206441514</v>
      </c>
      <c r="G411" t="n">
        <v>0.8683612219318907</v>
      </c>
      <c r="H411" t="n">
        <v>0.0164846158425723</v>
      </c>
      <c r="I411" t="n">
        <v>0.1835424935407342</v>
      </c>
      <c r="J411" t="n">
        <v>0.0216118763328422</v>
      </c>
      <c r="K411" t="n">
        <v>0.4850266127521553</v>
      </c>
      <c r="L411" t="b">
        <v>0</v>
      </c>
      <c r="M411" t="b">
        <v>0</v>
      </c>
      <c r="N411" t="inlineStr">
        <is>
          <t>alt</t>
        </is>
      </c>
      <c r="O411" t="n">
        <v>100</v>
      </c>
      <c r="P411" t="n">
        <v>0.00885</v>
      </c>
      <c r="Q411" t="n">
        <v>20</v>
      </c>
      <c r="R411" t="n">
        <v>0.003738</v>
      </c>
      <c r="S411">
        <f>IMAGE("https://mitra.stanford.edu/kundaje/oak/projects/neuro-variants/variant_position/credible/roussos_2024/variant_figures/roussos_2024.childhood.GLU/rs4363528_count_position.png",4,220,900)</f>
        <v/>
      </c>
      <c r="T411">
        <f>IMAGE("https://mitra.stanford.edu/kundaje/oak/projects/neuro-variants/variant_position/credible/roussos_2024/variant_figures/roussos_2024.childhood.GLU/rs4363528_profile_position.png",4,220,900)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0.03452060006</v>
      </c>
      <c r="G412" t="n">
        <v>0.2906348024186448</v>
      </c>
      <c r="H412" t="n">
        <v>0.0102635429130412</v>
      </c>
      <c r="I412" t="n">
        <v>0.6331499054520572</v>
      </c>
      <c r="J412" t="n">
        <v>0.0232344669146053</v>
      </c>
      <c r="K412" t="n">
        <v>0.4729776268852781</v>
      </c>
      <c r="L412" t="b">
        <v>0</v>
      </c>
      <c r="M412" t="b">
        <v>0</v>
      </c>
      <c r="N412" t="inlineStr">
        <is>
          <t>alt</t>
        </is>
      </c>
      <c r="O412" t="n">
        <v>100</v>
      </c>
      <c r="P412" t="n">
        <v>0.001099</v>
      </c>
      <c r="Q412" t="n">
        <v>95</v>
      </c>
      <c r="R412" t="n">
        <v>0.1299</v>
      </c>
      <c r="S412">
        <f>IMAGE("https://mitra.stanford.edu/kundaje/oak/projects/neuro-variants/variant_position/credible/roussos_2024/variant_figures/roussos_2024.childhood.GLU/rs11191453_count_position.png",4,220,900)</f>
        <v/>
      </c>
      <c r="T412">
        <f>IMAGE("https://mitra.stanford.edu/kundaje/oak/projects/neuro-variants/variant_position/credible/roussos_2024/variant_figures/roussos_2024.childhood.GLU/rs11191453_profile_position.png",4,220,900)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0.109369045</v>
      </c>
      <c r="G413" t="n">
        <v>0.038965857608246</v>
      </c>
      <c r="H413" t="n">
        <v>0.0333752407153027</v>
      </c>
      <c r="I413" t="n">
        <v>0.0144200868708074</v>
      </c>
      <c r="J413" t="n">
        <v>0.0339724108090287</v>
      </c>
      <c r="K413" t="n">
        <v>0.4128381728579395</v>
      </c>
      <c r="L413" t="b">
        <v>1</v>
      </c>
      <c r="M413" t="b">
        <v>0</v>
      </c>
      <c r="N413" t="inlineStr">
        <is>
          <t>alt</t>
        </is>
      </c>
      <c r="O413" t="n">
        <v>50</v>
      </c>
      <c r="P413" t="n">
        <v>0.01206</v>
      </c>
      <c r="Q413" t="n">
        <v>-75</v>
      </c>
      <c r="R413" t="n">
        <v>0.01056</v>
      </c>
      <c r="S413">
        <f>IMAGE("https://mitra.stanford.edu/kundaje/oak/projects/neuro-variants/variant_position/credible/roussos_2024/variant_figures/roussos_2024.childhood.GLU/rs10883799_count_position.png",4,220,900)</f>
        <v/>
      </c>
      <c r="T413">
        <f>IMAGE("https://mitra.stanford.edu/kundaje/oak/projects/neuro-variants/variant_position/credible/roussos_2024/variant_figures/roussos_2024.childhood.GLU/rs10883799_profile_position.png",4,220,900)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-0.005474728412</v>
      </c>
      <c r="G414" t="n">
        <v>0.7990022401874188</v>
      </c>
      <c r="H414" t="n">
        <v>0.0080139881713724</v>
      </c>
      <c r="I414" t="n">
        <v>0.8520553429505968</v>
      </c>
      <c r="J414" t="n">
        <v>0.0022386598947118</v>
      </c>
      <c r="K414" t="n">
        <v>0.7522901658684628</v>
      </c>
      <c r="L414" t="b">
        <v>0</v>
      </c>
      <c r="M414" t="b">
        <v>0</v>
      </c>
      <c r="N414" t="inlineStr">
        <is>
          <t>ref</t>
        </is>
      </c>
      <c r="O414" t="n">
        <v>100</v>
      </c>
      <c r="P414" t="n">
        <v>0.01175</v>
      </c>
      <c r="Q414" t="n">
        <v>-75</v>
      </c>
      <c r="R414" t="n">
        <v>0.01511</v>
      </c>
      <c r="S414">
        <f>IMAGE("https://mitra.stanford.edu/kundaje/oak/projects/neuro-variants/variant_position/credible/roussos_2024/variant_figures/roussos_2024.childhood.GLU/rs112699822_count_position.png",4,220,900)</f>
        <v/>
      </c>
      <c r="T414">
        <f>IMAGE("https://mitra.stanford.edu/kundaje/oak/projects/neuro-variants/variant_position/credible/roussos_2024/variant_figures/roussos_2024.childhood.GLU/rs112699822_profile_position.png",4,220,900)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0.099542752</v>
      </c>
      <c r="G415" t="n">
        <v>0.06643027359487939</v>
      </c>
      <c r="H415" t="n">
        <v>0.0236230359520762</v>
      </c>
      <c r="I415" t="n">
        <v>0.057535942751761</v>
      </c>
      <c r="J415" t="n">
        <v>0.0640433927081293</v>
      </c>
      <c r="K415" t="n">
        <v>0.309442823893274</v>
      </c>
      <c r="L415" t="b">
        <v>0</v>
      </c>
      <c r="M415" t="b">
        <v>0</v>
      </c>
      <c r="N415" t="inlineStr">
        <is>
          <t>alt</t>
        </is>
      </c>
      <c r="O415" t="n">
        <v>85</v>
      </c>
      <c r="P415" t="n">
        <v>0.02127</v>
      </c>
      <c r="Q415" t="n">
        <v>0</v>
      </c>
      <c r="R415" t="n">
        <v>0</v>
      </c>
      <c r="S415">
        <f>IMAGE("https://mitra.stanford.edu/kundaje/oak/projects/neuro-variants/variant_position/credible/roussos_2024/variant_figures/roussos_2024.childhood.GLU/rs11191472_count_position.png",4,220,900)</f>
        <v/>
      </c>
      <c r="T415">
        <f>IMAGE("https://mitra.stanford.edu/kundaje/oak/projects/neuro-variants/variant_position/credible/roussos_2024/variant_figures/roussos_2024.childhood.GLU/rs11191472_profile_position.png",4,220,900)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0.0127829839999999</v>
      </c>
      <c r="G416" t="n">
        <v>0.2227013358408923</v>
      </c>
      <c r="H416" t="n">
        <v>0.0143255783377257</v>
      </c>
      <c r="I416" t="n">
        <v>0.289747444650947</v>
      </c>
      <c r="J416" t="n">
        <v>0.0391770632655794</v>
      </c>
      <c r="K416" t="n">
        <v>0.3916346767354365</v>
      </c>
      <c r="L416" t="b">
        <v>0</v>
      </c>
      <c r="M416" t="b">
        <v>0</v>
      </c>
      <c r="N416" t="inlineStr">
        <is>
          <t>alt</t>
        </is>
      </c>
      <c r="O416" t="n">
        <v>10</v>
      </c>
      <c r="P416" t="n">
        <v>0.001465</v>
      </c>
      <c r="Q416" t="n">
        <v>10</v>
      </c>
      <c r="R416" t="n">
        <v>0.02454</v>
      </c>
      <c r="S416">
        <f>IMAGE("https://mitra.stanford.edu/kundaje/oak/projects/neuro-variants/variant_position/credible/roussos_2024/variant_figures/roussos_2024.childhood.GLU/rs3902934_count_position.png",4,220,900)</f>
        <v/>
      </c>
      <c r="T416">
        <f>IMAGE("https://mitra.stanford.edu/kundaje/oak/projects/neuro-variants/variant_position/credible/roussos_2024/variant_figures/roussos_2024.childhood.GLU/rs3902934_profile_position.png",4,220,900)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-0.03415785372</v>
      </c>
      <c r="G417" t="n">
        <v>0.2139790008691446</v>
      </c>
      <c r="H417" t="n">
        <v>0.0184570088486045</v>
      </c>
      <c r="I417" t="n">
        <v>0.1308102022282384</v>
      </c>
      <c r="J417" t="n">
        <v>0.0811346801693674</v>
      </c>
      <c r="K417" t="n">
        <v>0.2736317192349797</v>
      </c>
      <c r="L417" t="b">
        <v>0</v>
      </c>
      <c r="M417" t="b">
        <v>0</v>
      </c>
      <c r="N417" t="inlineStr">
        <is>
          <t>ref</t>
        </is>
      </c>
      <c r="O417" t="n">
        <v>-50</v>
      </c>
      <c r="P417" t="n">
        <v>0.004944</v>
      </c>
      <c r="Q417" t="n">
        <v>-55</v>
      </c>
      <c r="R417" t="n">
        <v>0.10645</v>
      </c>
      <c r="S417">
        <f>IMAGE("https://mitra.stanford.edu/kundaje/oak/projects/neuro-variants/variant_position/credible/roussos_2024/variant_figures/roussos_2024.childhood.GLU/rs1890184_count_position.png",4,220,900)</f>
        <v/>
      </c>
      <c r="T417">
        <f>IMAGE("https://mitra.stanford.edu/kundaje/oak/projects/neuro-variants/variant_position/credible/roussos_2024/variant_figures/roussos_2024.childhood.GLU/rs1890184_profile_position.png",4,220,900)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0.0080242762999999</v>
      </c>
      <c r="G418" t="n">
        <v>0.709637354527642</v>
      </c>
      <c r="H418" t="n">
        <v>0.0240033730025341</v>
      </c>
      <c r="I418" t="n">
        <v>0.0536985757994396</v>
      </c>
      <c r="J418" t="n">
        <v>0.0076627484108914</v>
      </c>
      <c r="K418" t="n">
        <v>0.6186150765684699</v>
      </c>
      <c r="L418" t="b">
        <v>0</v>
      </c>
      <c r="M418" t="b">
        <v>0</v>
      </c>
      <c r="N418" t="inlineStr">
        <is>
          <t>alt</t>
        </is>
      </c>
      <c r="O418" t="n">
        <v>-50</v>
      </c>
      <c r="P418" t="n">
        <v>0.001762</v>
      </c>
      <c r="Q418" t="n">
        <v>-100</v>
      </c>
      <c r="R418" t="n">
        <v>0.1364</v>
      </c>
      <c r="S418">
        <f>IMAGE("https://mitra.stanford.edu/kundaje/oak/projects/neuro-variants/variant_position/credible/roussos_2024/variant_figures/roussos_2024.childhood.GLU/rs11191511_count_position.png",4,220,900)</f>
        <v/>
      </c>
      <c r="T418">
        <f>IMAGE("https://mitra.stanford.edu/kundaje/oak/projects/neuro-variants/variant_position/credible/roussos_2024/variant_figures/roussos_2024.childhood.GLU/rs11191511_profile_position.png",4,220,900)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-0.06623832339999999</v>
      </c>
      <c r="G419" t="n">
        <v>0.1171246605489754</v>
      </c>
      <c r="H419" t="n">
        <v>0.0107922530314926</v>
      </c>
      <c r="I419" t="n">
        <v>0.5681207777409181</v>
      </c>
      <c r="J419" t="n">
        <v>0.0076174188962262</v>
      </c>
      <c r="K419" t="n">
        <v>0.6317568440322332</v>
      </c>
      <c r="L419" t="b">
        <v>0</v>
      </c>
      <c r="M419" t="b">
        <v>0</v>
      </c>
      <c r="N419" t="inlineStr">
        <is>
          <t>ref</t>
        </is>
      </c>
      <c r="O419" t="n">
        <v>-100</v>
      </c>
      <c r="P419" t="n">
        <v>0.0092</v>
      </c>
      <c r="Q419" t="n">
        <v>-55</v>
      </c>
      <c r="R419" t="n">
        <v>0.0537</v>
      </c>
      <c r="S419">
        <f>IMAGE("https://mitra.stanford.edu/kundaje/oak/projects/neuro-variants/variant_position/credible/roussos_2024/variant_figures/roussos_2024.childhood.GLU/rs11191514_count_position.png",4,220,900)</f>
        <v/>
      </c>
      <c r="T419">
        <f>IMAGE("https://mitra.stanford.edu/kundaje/oak/projects/neuro-variants/variant_position/credible/roussos_2024/variant_figures/roussos_2024.childhood.GLU/rs11191514_profile_position.png",4,220,900)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-0.0360627882</v>
      </c>
      <c r="G420" t="n">
        <v>0.2801253946265303</v>
      </c>
      <c r="H420" t="n">
        <v>0.010171680716964</v>
      </c>
      <c r="I420" t="n">
        <v>0.6356811040460865</v>
      </c>
      <c r="J420" t="n">
        <v>0.5634438068550589</v>
      </c>
      <c r="K420" t="n">
        <v>0.0316327769000577</v>
      </c>
      <c r="L420" t="b">
        <v>0</v>
      </c>
      <c r="M420" t="b">
        <v>0</v>
      </c>
      <c r="N420" t="inlineStr">
        <is>
          <t>ref</t>
        </is>
      </c>
      <c r="O420" t="n">
        <v>90</v>
      </c>
      <c r="P420" t="n">
        <v>0.08359999999999999</v>
      </c>
      <c r="Q420" t="n">
        <v>95</v>
      </c>
      <c r="R420" t="n">
        <v>0.1587</v>
      </c>
      <c r="S420">
        <f>IMAGE("https://mitra.stanford.edu/kundaje/oak/projects/neuro-variants/variant_position/credible/roussos_2024/variant_figures/roussos_2024.childhood.GLU/rs1926032_count_position.png",4,220,900)</f>
        <v/>
      </c>
      <c r="T420">
        <f>IMAGE("https://mitra.stanford.edu/kundaje/oak/projects/neuro-variants/variant_position/credible/roussos_2024/variant_figures/roussos_2024.childhood.GLU/rs1926032_profile_position.png",4,220,900)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0.0022709994</v>
      </c>
      <c r="G421" t="n">
        <v>0.5979277654925309</v>
      </c>
      <c r="H421" t="n">
        <v>0.008123879283341399</v>
      </c>
      <c r="I421" t="n">
        <v>0.8529770819950073</v>
      </c>
      <c r="J421" t="n">
        <v>0.0023097448154367</v>
      </c>
      <c r="K421" t="n">
        <v>0.7524240281645983</v>
      </c>
      <c r="L421" t="b">
        <v>0</v>
      </c>
      <c r="M421" t="b">
        <v>0</v>
      </c>
      <c r="N421" t="inlineStr">
        <is>
          <t>alt</t>
        </is>
      </c>
      <c r="O421" t="n">
        <v>0</v>
      </c>
      <c r="P421" t="n">
        <v>0</v>
      </c>
      <c r="Q421" t="n">
        <v>75</v>
      </c>
      <c r="R421" t="n">
        <v>0.1448</v>
      </c>
      <c r="S421">
        <f>IMAGE("https://mitra.stanford.edu/kundaje/oak/projects/neuro-variants/variant_position/credible/roussos_2024/variant_figures/roussos_2024.childhood.GLU/rs9633712_count_position.png",4,220,900)</f>
        <v/>
      </c>
      <c r="T421">
        <f>IMAGE("https://mitra.stanford.edu/kundaje/oak/projects/neuro-variants/variant_position/credible/roussos_2024/variant_figures/roussos_2024.childhood.GLU/rs9633712_profile_position.png",4,220,900)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-0.0600693906</v>
      </c>
      <c r="G422" t="n">
        <v>0.1354773934816875</v>
      </c>
      <c r="H422" t="n">
        <v>0.0139775204819515</v>
      </c>
      <c r="I422" t="n">
        <v>0.3053551643070722</v>
      </c>
      <c r="J422" t="n">
        <v>0.0306540842922929</v>
      </c>
      <c r="K422" t="n">
        <v>0.4272776917163111</v>
      </c>
      <c r="L422" t="b">
        <v>0</v>
      </c>
      <c r="M422" t="b">
        <v>0</v>
      </c>
      <c r="N422" t="inlineStr">
        <is>
          <t>ref</t>
        </is>
      </c>
      <c r="O422" t="n">
        <v>80</v>
      </c>
      <c r="P422" t="n">
        <v>0.007423</v>
      </c>
      <c r="Q422" t="n">
        <v>85</v>
      </c>
      <c r="R422" t="n">
        <v>0.1398</v>
      </c>
      <c r="S422">
        <f>IMAGE("https://mitra.stanford.edu/kundaje/oak/projects/neuro-variants/variant_position/credible/roussos_2024/variant_figures/roussos_2024.childhood.GLU/rs11191582_count_position.png",4,220,900)</f>
        <v/>
      </c>
      <c r="T422">
        <f>IMAGE("https://mitra.stanford.edu/kundaje/oak/projects/neuro-variants/variant_position/credible/roussos_2024/variant_figures/roussos_2024.childhood.GLU/rs11191582_profile_position.png",4,220,900)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-0.00215478818</v>
      </c>
      <c r="G423" t="n">
        <v>0.8766477775897238</v>
      </c>
      <c r="H423" t="n">
        <v>0.0214684577086668</v>
      </c>
      <c r="I423" t="n">
        <v>0.0759789027098505</v>
      </c>
      <c r="J423" t="n">
        <v>0.08809070023797989</v>
      </c>
      <c r="K423" t="n">
        <v>0.2657317995377236</v>
      </c>
      <c r="L423" t="b">
        <v>0</v>
      </c>
      <c r="M423" t="b">
        <v>0</v>
      </c>
      <c r="N423" t="inlineStr">
        <is>
          <t>ref</t>
        </is>
      </c>
      <c r="O423" t="n">
        <v>-100</v>
      </c>
      <c r="P423" t="n">
        <v>0.003479</v>
      </c>
      <c r="Q423" t="n">
        <v>-100</v>
      </c>
      <c r="R423" t="n">
        <v>0.002853</v>
      </c>
      <c r="S423">
        <f>IMAGE("https://mitra.stanford.edu/kundaje/oak/projects/neuro-variants/variant_position/credible/roussos_2024/variant_figures/roussos_2024.childhood.GLU/rs12414028_count_position.png",4,220,900)</f>
        <v/>
      </c>
      <c r="T423">
        <f>IMAGE("https://mitra.stanford.edu/kundaje/oak/projects/neuro-variants/variant_position/credible/roussos_2024/variant_figures/roussos_2024.childhood.GLU/rs12414028_profile_position.png",4,220,900)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-0.08552358639999991</v>
      </c>
      <c r="G424" t="n">
        <v>0.0736638636825504</v>
      </c>
      <c r="H424" t="n">
        <v>0.0290203803288042</v>
      </c>
      <c r="I424" t="n">
        <v>0.0244263953956964</v>
      </c>
      <c r="J424" t="n">
        <v>0.3273615131816168</v>
      </c>
      <c r="K424" t="n">
        <v>0.0863882132780921</v>
      </c>
      <c r="L424" t="b">
        <v>0</v>
      </c>
      <c r="M424" t="b">
        <v>0</v>
      </c>
      <c r="N424" t="inlineStr">
        <is>
          <t>ref</t>
        </is>
      </c>
      <c r="O424" t="n">
        <v>-55</v>
      </c>
      <c r="P424" t="n">
        <v>0.01434</v>
      </c>
      <c r="Q424" t="n">
        <v>-65</v>
      </c>
      <c r="R424" t="n">
        <v>0.1562</v>
      </c>
      <c r="S424">
        <f>IMAGE("https://mitra.stanford.edu/kundaje/oak/projects/neuro-variants/variant_position/credible/roussos_2024/variant_figures/roussos_2024.childhood.GLU/rs1490183_count_position.png",4,220,900)</f>
        <v/>
      </c>
      <c r="T424">
        <f>IMAGE("https://mitra.stanford.edu/kundaje/oak/projects/neuro-variants/variant_position/credible/roussos_2024/variant_figures/roussos_2024.childhood.GLU/rs1490183_profile_position.png",4,220,900)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-0.0805125104</v>
      </c>
      <c r="G425" t="n">
        <v>0.09135284939895499</v>
      </c>
      <c r="H425" t="n">
        <v>0.0139007253279072</v>
      </c>
      <c r="I425" t="n">
        <v>0.3069576636400919</v>
      </c>
      <c r="J425" t="n">
        <v>0.0744382745938372</v>
      </c>
      <c r="K425" t="n">
        <v>0.290688633489404</v>
      </c>
      <c r="L425" t="b">
        <v>0</v>
      </c>
      <c r="M425" t="b">
        <v>0</v>
      </c>
      <c r="N425" t="inlineStr">
        <is>
          <t>ref</t>
        </is>
      </c>
      <c r="O425" t="n">
        <v>-5</v>
      </c>
      <c r="P425" t="n">
        <v>0.001587</v>
      </c>
      <c r="Q425" t="n">
        <v>-5</v>
      </c>
      <c r="R425" t="n">
        <v>0.02979</v>
      </c>
      <c r="S425">
        <f>IMAGE("https://mitra.stanford.edu/kundaje/oak/projects/neuro-variants/variant_position/credible/roussos_2024/variant_figures/roussos_2024.childhood.GLU/rs2491368_count_position.png",4,220,900)</f>
        <v/>
      </c>
      <c r="T425">
        <f>IMAGE("https://mitra.stanford.edu/kundaje/oak/projects/neuro-variants/variant_position/credible/roussos_2024/variant_figures/roussos_2024.childhood.GLU/rs2491368_profile_position.png",4,220,900)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-0.0441636466999999</v>
      </c>
      <c r="G426" t="n">
        <v>0.2065971063011621</v>
      </c>
      <c r="H426" t="n">
        <v>0.0148657663897331</v>
      </c>
      <c r="I426" t="n">
        <v>0.257745483122963</v>
      </c>
      <c r="J426" t="n">
        <v>0.0414342670526543</v>
      </c>
      <c r="K426" t="n">
        <v>0.3876437838437045</v>
      </c>
      <c r="L426" t="b">
        <v>0</v>
      </c>
      <c r="M426" t="b">
        <v>0</v>
      </c>
      <c r="N426" t="inlineStr">
        <is>
          <t>ref</t>
        </is>
      </c>
      <c r="O426" t="n">
        <v>-75</v>
      </c>
      <c r="P426" t="n">
        <v>0.002909</v>
      </c>
      <c r="Q426" t="n">
        <v>85</v>
      </c>
      <c r="R426" t="n">
        <v>0.1164</v>
      </c>
      <c r="S426">
        <f>IMAGE("https://mitra.stanford.edu/kundaje/oak/projects/neuro-variants/variant_position/credible/roussos_2024/variant_figures/roussos_2024.childhood.GLU/rs12250380_count_position.png",4,220,900)</f>
        <v/>
      </c>
      <c r="T426">
        <f>IMAGE("https://mitra.stanford.edu/kundaje/oak/projects/neuro-variants/variant_position/credible/roussos_2024/variant_figures/roussos_2024.childhood.GLU/rs12250380_profile_position.png",4,220,900)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-0.00355637802</v>
      </c>
      <c r="G427" t="n">
        <v>0.6361313676146492</v>
      </c>
      <c r="H427" t="n">
        <v>0.0342021826660063</v>
      </c>
      <c r="I427" t="n">
        <v>0.0123665439432873</v>
      </c>
      <c r="J427" t="n">
        <v>0.0137461753222001</v>
      </c>
      <c r="K427" t="n">
        <v>0.5395619198763458</v>
      </c>
      <c r="L427" t="b">
        <v>1</v>
      </c>
      <c r="M427" t="b">
        <v>0</v>
      </c>
      <c r="N427" t="inlineStr">
        <is>
          <t>ref</t>
        </is>
      </c>
      <c r="O427" t="n">
        <v>70</v>
      </c>
      <c r="P427" t="n">
        <v>0.01218</v>
      </c>
      <c r="Q427" t="n">
        <v>95</v>
      </c>
      <c r="R427" t="n">
        <v>0.2183</v>
      </c>
      <c r="S427">
        <f>IMAGE("https://mitra.stanford.edu/kundaje/oak/projects/neuro-variants/variant_position/credible/roussos_2024/variant_figures/roussos_2024.childhood.GLU/rs1021363_count_position.png",4,220,900)</f>
        <v/>
      </c>
      <c r="T427">
        <f>IMAGE("https://mitra.stanford.edu/kundaje/oak/projects/neuro-variants/variant_position/credible/roussos_2024/variant_figures/roussos_2024.childhood.GLU/rs1021363_profile_position.png",4,220,900)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0.0287136019999999</v>
      </c>
      <c r="G428" t="n">
        <v>0.3484906615264164</v>
      </c>
      <c r="H428" t="n">
        <v>0.0107070005624593</v>
      </c>
      <c r="I428" t="n">
        <v>0.5770078106252189</v>
      </c>
      <c r="J428" t="n">
        <v>0.061115518147259</v>
      </c>
      <c r="K428" t="n">
        <v>0.321654511843759</v>
      </c>
      <c r="L428" t="b">
        <v>0</v>
      </c>
      <c r="M428" t="b">
        <v>0</v>
      </c>
      <c r="N428" t="inlineStr">
        <is>
          <t>alt</t>
        </is>
      </c>
      <c r="O428" t="n">
        <v>-100</v>
      </c>
      <c r="P428" t="n">
        <v>0.00586</v>
      </c>
      <c r="Q428" t="n">
        <v>90</v>
      </c>
      <c r="R428" t="n">
        <v>0.1892</v>
      </c>
      <c r="S428">
        <f>IMAGE("https://mitra.stanford.edu/kundaje/oak/projects/neuro-variants/variant_position/credible/roussos_2024/variant_figures/roussos_2024.childhood.GLU/rs2451497_count_position.png",4,220,900)</f>
        <v/>
      </c>
      <c r="T428">
        <f>IMAGE("https://mitra.stanford.edu/kundaje/oak/projects/neuro-variants/variant_position/credible/roussos_2024/variant_figures/roussos_2024.childhood.GLU/rs2451497_profile_position.png",4,220,900)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-0.00088653042</v>
      </c>
      <c r="G429" t="n">
        <v>0.8302197603750882</v>
      </c>
      <c r="H429" t="n">
        <v>0.0242541510681848</v>
      </c>
      <c r="I429" t="n">
        <v>0.0483810821365759</v>
      </c>
      <c r="J429" t="n">
        <v>0.0007314535320963</v>
      </c>
      <c r="K429" t="n">
        <v>0.8629947455590072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0.03268</v>
      </c>
      <c r="Q429" t="n">
        <v>-10</v>
      </c>
      <c r="R429" t="n">
        <v>0.02698</v>
      </c>
      <c r="S429">
        <f>IMAGE("https://mitra.stanford.edu/kundaje/oak/projects/neuro-variants/variant_position/credible/roussos_2024/variant_figures/roussos_2024.childhood.GLU/rs2932558_count_position.png",4,220,900)</f>
        <v/>
      </c>
      <c r="T429">
        <f>IMAGE("https://mitra.stanford.edu/kundaje/oak/projects/neuro-variants/variant_position/credible/roussos_2024/variant_figures/roussos_2024.childhood.GLU/rs2932558_profile_position.png",4,220,900)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-0.01300018536</v>
      </c>
      <c r="G430" t="n">
        <v>0.5523151883685699</v>
      </c>
      <c r="H430" t="n">
        <v>0.0126401655931374</v>
      </c>
      <c r="I430" t="n">
        <v>0.3905021209627559</v>
      </c>
      <c r="J430" t="n">
        <v>0.0221156520753705</v>
      </c>
      <c r="K430" t="n">
        <v>0.4799228478469649</v>
      </c>
      <c r="L430" t="b">
        <v>0</v>
      </c>
      <c r="M430" t="b">
        <v>0</v>
      </c>
      <c r="N430" t="inlineStr">
        <is>
          <t>ref</t>
        </is>
      </c>
      <c r="O430" t="n">
        <v>-30</v>
      </c>
      <c r="P430" t="n">
        <v>0.002743</v>
      </c>
      <c r="Q430" t="n">
        <v>90</v>
      </c>
      <c r="R430" t="n">
        <v>0.1015</v>
      </c>
      <c r="S430">
        <f>IMAGE("https://mitra.stanford.edu/kundaje/oak/projects/neuro-variants/variant_position/credible/roussos_2024/variant_figures/roussos_2024.childhood.GLU/rs2932559_count_position.png",4,220,900)</f>
        <v/>
      </c>
      <c r="T430">
        <f>IMAGE("https://mitra.stanford.edu/kundaje/oak/projects/neuro-variants/variant_position/credible/roussos_2024/variant_figures/roussos_2024.childhood.GLU/rs2932559_profile_position.png",4,220,900)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0.07182647440000001</v>
      </c>
      <c r="G431" t="n">
        <v>0.09586686396214671</v>
      </c>
      <c r="H431" t="n">
        <v>0.0302045310423622</v>
      </c>
      <c r="I431" t="n">
        <v>0.020918251393908</v>
      </c>
      <c r="J431" t="n">
        <v>0.0248354229552782</v>
      </c>
      <c r="K431" t="n">
        <v>0.4944075471858755</v>
      </c>
      <c r="L431" t="b">
        <v>0</v>
      </c>
      <c r="M431" t="b">
        <v>0</v>
      </c>
      <c r="N431" t="inlineStr">
        <is>
          <t>alt</t>
        </is>
      </c>
      <c r="O431" t="n">
        <v>-50</v>
      </c>
      <c r="P431" t="n">
        <v>0.003784</v>
      </c>
      <c r="Q431" t="n">
        <v>70</v>
      </c>
      <c r="R431" t="n">
        <v>0.01819</v>
      </c>
      <c r="S431">
        <f>IMAGE("https://mitra.stanford.edu/kundaje/oak/projects/neuro-variants/variant_position/credible/roussos_2024/variant_figures/roussos_2024.childhood.GLU/rs7073961_count_position.png",4,220,900)</f>
        <v/>
      </c>
      <c r="T431">
        <f>IMAGE("https://mitra.stanford.edu/kundaje/oak/projects/neuro-variants/variant_position/credible/roussos_2024/variant_figures/roussos_2024.childhood.GLU/rs7073961_profile_position.png",4,220,900)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-0.0161538768</v>
      </c>
      <c r="G432" t="n">
        <v>0.5301423662496564</v>
      </c>
      <c r="H432" t="n">
        <v>0.0211850314799963</v>
      </c>
      <c r="I432" t="n">
        <v>0.08075973217671931</v>
      </c>
      <c r="J432" t="n">
        <v>0.0786611309713908</v>
      </c>
      <c r="K432" t="n">
        <v>0.2786864242411018</v>
      </c>
      <c r="L432" t="b">
        <v>0</v>
      </c>
      <c r="M432" t="b">
        <v>0</v>
      </c>
      <c r="N432" t="inlineStr">
        <is>
          <t>ref</t>
        </is>
      </c>
      <c r="O432" t="n">
        <v>-65</v>
      </c>
      <c r="P432" t="n">
        <v>0.005585</v>
      </c>
      <c r="Q432" t="n">
        <v>-90</v>
      </c>
      <c r="R432" t="n">
        <v>0.04926</v>
      </c>
      <c r="S432">
        <f>IMAGE("https://mitra.stanford.edu/kundaje/oak/projects/neuro-variants/variant_position/credible/roussos_2024/variant_figures/roussos_2024.childhood.GLU/rs6585767_count_position.png",4,220,900)</f>
        <v/>
      </c>
      <c r="T432">
        <f>IMAGE("https://mitra.stanford.edu/kundaje/oak/projects/neuro-variants/variant_position/credible/roussos_2024/variant_figures/roussos_2024.childhood.GLU/rs6585767_profile_position.png",4,220,900)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0.0878845</v>
      </c>
      <c r="G433" t="n">
        <v>0.0580535924176331</v>
      </c>
      <c r="H433" t="n">
        <v>0.0151129187701117</v>
      </c>
      <c r="I433" t="n">
        <v>0.2388822534916468</v>
      </c>
      <c r="J433" t="n">
        <v>0.0050150926679509</v>
      </c>
      <c r="K433" t="n">
        <v>0.6717449505295587</v>
      </c>
      <c r="L433" t="b">
        <v>0</v>
      </c>
      <c r="M433" t="b">
        <v>0</v>
      </c>
      <c r="N433" t="inlineStr">
        <is>
          <t>alt</t>
        </is>
      </c>
      <c r="O433" t="n">
        <v>-85</v>
      </c>
      <c r="P433" t="n">
        <v>0.011734</v>
      </c>
      <c r="Q433" t="n">
        <v>-60</v>
      </c>
      <c r="R433" t="n">
        <v>0.0654</v>
      </c>
      <c r="S433">
        <f>IMAGE("https://mitra.stanford.edu/kundaje/oak/projects/neuro-variants/variant_position/credible/roussos_2024/variant_figures/roussos_2024.childhood.GLU/rs12415401_count_position.png",4,220,900)</f>
        <v/>
      </c>
      <c r="T433">
        <f>IMAGE("https://mitra.stanford.edu/kundaje/oak/projects/neuro-variants/variant_position/credible/roussos_2024/variant_figures/roussos_2024.childhood.GLU/rs12415401_profile_position.png",4,220,900)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0.0712624942</v>
      </c>
      <c r="G434" t="n">
        <v>0.0924611860753108</v>
      </c>
      <c r="H434" t="n">
        <v>0.0109320408769554</v>
      </c>
      <c r="I434" t="n">
        <v>0.5470536654113504</v>
      </c>
      <c r="J434" t="n">
        <v>0.1481718812778802</v>
      </c>
      <c r="K434" t="n">
        <v>0.1910604391389125</v>
      </c>
      <c r="L434" t="b">
        <v>0</v>
      </c>
      <c r="M434" t="b">
        <v>0</v>
      </c>
      <c r="N434" t="inlineStr">
        <is>
          <t>alt</t>
        </is>
      </c>
      <c r="O434" t="n">
        <v>65</v>
      </c>
      <c r="P434" t="n">
        <v>0.004272</v>
      </c>
      <c r="Q434" t="n">
        <v>-95</v>
      </c>
      <c r="R434" t="n">
        <v>0.04715</v>
      </c>
      <c r="S434">
        <f>IMAGE("https://mitra.stanford.edu/kundaje/oak/projects/neuro-variants/variant_position/credible/roussos_2024/variant_figures/roussos_2024.childhood.GLU/rs7095093_count_position.png",4,220,900)</f>
        <v/>
      </c>
      <c r="T434">
        <f>IMAGE("https://mitra.stanford.edu/kundaje/oak/projects/neuro-variants/variant_position/credible/roussos_2024/variant_figures/roussos_2024.childhood.GLU/rs7095093_profile_position.png",4,220,900)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-0.0445863162</v>
      </c>
      <c r="G435" t="n">
        <v>0.2223834267903872</v>
      </c>
      <c r="H435" t="n">
        <v>0.0200290995226213</v>
      </c>
      <c r="I435" t="n">
        <v>0.09835013950478499</v>
      </c>
      <c r="J435" t="n">
        <v>0.017072743568875</v>
      </c>
      <c r="K435" t="n">
        <v>0.5204883531541089</v>
      </c>
      <c r="L435" t="b">
        <v>0</v>
      </c>
      <c r="M435" t="b">
        <v>0</v>
      </c>
      <c r="N435" t="inlineStr">
        <is>
          <t>ref</t>
        </is>
      </c>
      <c r="O435" t="n">
        <v>-50</v>
      </c>
      <c r="P435" t="n">
        <v>0.001648</v>
      </c>
      <c r="Q435" t="n">
        <v>80</v>
      </c>
      <c r="R435" t="n">
        <v>0.08484</v>
      </c>
      <c r="S435">
        <f>IMAGE("https://mitra.stanford.edu/kundaje/oak/projects/neuro-variants/variant_position/credible/roussos_2024/variant_figures/roussos_2024.childhood.GLU/rs7923863_count_position.png",4,220,900)</f>
        <v/>
      </c>
      <c r="T435">
        <f>IMAGE("https://mitra.stanford.edu/kundaje/oak/projects/neuro-variants/variant_position/credible/roussos_2024/variant_figures/roussos_2024.childhood.GLU/rs7923863_profile_position.png",4,220,900)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0.0277042370599999</v>
      </c>
      <c r="G436" t="n">
        <v>0.3637196804663609</v>
      </c>
      <c r="H436" t="n">
        <v>0.0081520359880264</v>
      </c>
      <c r="I436" t="n">
        <v>0.8322587178993101</v>
      </c>
      <c r="J436" t="n">
        <v>0.0545035903036046</v>
      </c>
      <c r="K436" t="n">
        <v>0.3338139792014534</v>
      </c>
      <c r="L436" t="b">
        <v>0</v>
      </c>
      <c r="M436" t="b">
        <v>0</v>
      </c>
      <c r="N436" t="inlineStr">
        <is>
          <t>alt</t>
        </is>
      </c>
      <c r="O436" t="n">
        <v>85</v>
      </c>
      <c r="P436" t="n">
        <v>0.004692</v>
      </c>
      <c r="Q436" t="n">
        <v>0</v>
      </c>
      <c r="R436" t="n">
        <v>0</v>
      </c>
      <c r="S436">
        <f>IMAGE("https://mitra.stanford.edu/kundaje/oak/projects/neuro-variants/variant_position/credible/roussos_2024/variant_figures/roussos_2024.childhood.GLU/rs72839625_count_position.png",4,220,900)</f>
        <v/>
      </c>
      <c r="T436">
        <f>IMAGE("https://mitra.stanford.edu/kundaje/oak/projects/neuro-variants/variant_position/credible/roussos_2024/variant_figures/roussos_2024.childhood.GLU/rs72839625_profile_position.png",4,220,900)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-0.131958026</v>
      </c>
      <c r="G437" t="n">
        <v>0.0246060219559682</v>
      </c>
      <c r="H437" t="n">
        <v>0.0188751341974803</v>
      </c>
      <c r="I437" t="n">
        <v>0.1241042681802919</v>
      </c>
      <c r="J437" t="n">
        <v>0.370568782387423</v>
      </c>
      <c r="K437" t="n">
        <v>0.0727712767437234</v>
      </c>
      <c r="L437" t="b">
        <v>0</v>
      </c>
      <c r="M437" t="b">
        <v>0</v>
      </c>
      <c r="N437" t="inlineStr">
        <is>
          <t>ref</t>
        </is>
      </c>
      <c r="O437" t="n">
        <v>100</v>
      </c>
      <c r="P437" t="n">
        <v>0.003197</v>
      </c>
      <c r="Q437" t="n">
        <v>-5</v>
      </c>
      <c r="R437" t="n">
        <v>0.01294</v>
      </c>
      <c r="S437">
        <f>IMAGE("https://mitra.stanford.edu/kundaje/oak/projects/neuro-variants/variant_position/credible/roussos_2024/variant_figures/roussos_2024.childhood.GLU/rs7902292_count_position.png",4,220,900)</f>
        <v/>
      </c>
      <c r="T437">
        <f>IMAGE("https://mitra.stanford.edu/kundaje/oak/projects/neuro-variants/variant_position/credible/roussos_2024/variant_figures/roussos_2024.childhood.GLU/rs7902292_profile_position.png",4,220,900)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0.01326999636</v>
      </c>
      <c r="G438" t="n">
        <v>0.5309274994997486</v>
      </c>
      <c r="H438" t="n">
        <v>0.009863192365845</v>
      </c>
      <c r="I438" t="n">
        <v>0.6688001948685588</v>
      </c>
      <c r="J438" t="n">
        <v>0.2947541388937537</v>
      </c>
      <c r="K438" t="n">
        <v>0.09982729266530919</v>
      </c>
      <c r="L438" t="b">
        <v>0</v>
      </c>
      <c r="M438" t="b">
        <v>0</v>
      </c>
      <c r="N438" t="inlineStr">
        <is>
          <t>alt</t>
        </is>
      </c>
      <c r="O438" t="n">
        <v>-100</v>
      </c>
      <c r="P438" t="n">
        <v>0.013824</v>
      </c>
      <c r="Q438" t="n">
        <v>-100</v>
      </c>
      <c r="R438" t="n">
        <v>0.186</v>
      </c>
      <c r="S438">
        <f>IMAGE("https://mitra.stanford.edu/kundaje/oak/projects/neuro-variants/variant_position/credible/roussos_2024/variant_figures/roussos_2024.childhood.GLU/rs4752661_count_position.png",4,220,900)</f>
        <v/>
      </c>
      <c r="T438">
        <f>IMAGE("https://mitra.stanford.edu/kundaje/oak/projects/neuro-variants/variant_position/credible/roussos_2024/variant_figures/roussos_2024.childhood.GLU/rs4752661_profile_position.png",4,220,900)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0.09039309</v>
      </c>
      <c r="G439" t="n">
        <v>0.0544423876014544</v>
      </c>
      <c r="H439" t="n">
        <v>0.0161167368825537</v>
      </c>
      <c r="I439" t="n">
        <v>0.2096826970677654</v>
      </c>
      <c r="J439" t="n">
        <v>0.0196410726611515</v>
      </c>
      <c r="K439" t="n">
        <v>0.4886472641731492</v>
      </c>
      <c r="L439" t="b">
        <v>0</v>
      </c>
      <c r="M439" t="b">
        <v>0</v>
      </c>
      <c r="N439" t="inlineStr">
        <is>
          <t>alt</t>
        </is>
      </c>
      <c r="O439" t="n">
        <v>-100</v>
      </c>
      <c r="P439" t="n">
        <v>0.02063</v>
      </c>
      <c r="Q439" t="n">
        <v>-100</v>
      </c>
      <c r="R439" t="n">
        <v>0.2627</v>
      </c>
      <c r="S439">
        <f>IMAGE("https://mitra.stanford.edu/kundaje/oak/projects/neuro-variants/variant_position/credible/roussos_2024/variant_figures/roussos_2024.childhood.GLU/rs10832723_count_position.png",4,220,900)</f>
        <v/>
      </c>
      <c r="T439">
        <f>IMAGE("https://mitra.stanford.edu/kundaje/oak/projects/neuro-variants/variant_position/credible/roussos_2024/variant_figures/roussos_2024.childhood.GLU/rs10832723_profile_position.png",4,220,900)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-0.131892869</v>
      </c>
      <c r="G440" t="n">
        <v>0.0233763161046655</v>
      </c>
      <c r="H440" t="n">
        <v>0.0194631598259213</v>
      </c>
      <c r="I440" t="n">
        <v>0.1083457212067834</v>
      </c>
      <c r="J440" t="n">
        <v>0.1561663593188209</v>
      </c>
      <c r="K440" t="n">
        <v>0.1837642117359327</v>
      </c>
      <c r="L440" t="b">
        <v>0</v>
      </c>
      <c r="M440" t="b">
        <v>0</v>
      </c>
      <c r="N440" t="inlineStr">
        <is>
          <t>ref</t>
        </is>
      </c>
      <c r="O440" t="n">
        <v>95</v>
      </c>
      <c r="P440" t="n">
        <v>0.01047</v>
      </c>
      <c r="Q440" t="n">
        <v>95</v>
      </c>
      <c r="R440" t="n">
        <v>0.1897</v>
      </c>
      <c r="S440">
        <f>IMAGE("https://mitra.stanford.edu/kundaje/oak/projects/neuro-variants/variant_position/credible/roussos_2024/variant_figures/roussos_2024.childhood.GLU/rs4456241_count_position.png",4,220,900)</f>
        <v/>
      </c>
      <c r="T440">
        <f>IMAGE("https://mitra.stanford.edu/kundaje/oak/projects/neuro-variants/variant_position/credible/roussos_2024/variant_figures/roussos_2024.childhood.GLU/rs4456241_profile_position.png",4,220,900)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0.0199834583999999</v>
      </c>
      <c r="G441" t="n">
        <v>0.4601174675919067</v>
      </c>
      <c r="H441" t="n">
        <v>0.02394365903038</v>
      </c>
      <c r="I441" t="n">
        <v>0.0514585726386006</v>
      </c>
      <c r="J441" t="n">
        <v>0.0470077369239802</v>
      </c>
      <c r="K441" t="n">
        <v>0.3697122841476727</v>
      </c>
      <c r="L441" t="b">
        <v>0</v>
      </c>
      <c r="M441" t="b">
        <v>0</v>
      </c>
      <c r="N441" t="inlineStr">
        <is>
          <t>alt</t>
        </is>
      </c>
      <c r="O441" t="n">
        <v>100</v>
      </c>
      <c r="P441" t="n">
        <v>0.00478</v>
      </c>
      <c r="Q441" t="n">
        <v>-100</v>
      </c>
      <c r="R441" t="n">
        <v>0.01778</v>
      </c>
      <c r="S441">
        <f>IMAGE("https://mitra.stanford.edu/kundaje/oak/projects/neuro-variants/variant_position/credible/roussos_2024/variant_figures/roussos_2024.childhood.GLU/rs77545208_count_position.png",4,220,900)</f>
        <v/>
      </c>
      <c r="T441">
        <f>IMAGE("https://mitra.stanford.edu/kundaje/oak/projects/neuro-variants/variant_position/credible/roussos_2024/variant_figures/roussos_2024.childhood.GLU/rs77545208_profile_position.png",4,220,900)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-0.00509911302</v>
      </c>
      <c r="G442" t="n">
        <v>0.8152752752776549</v>
      </c>
      <c r="H442" t="n">
        <v>0.0365740148120477</v>
      </c>
      <c r="I442" t="n">
        <v>0.009320727411855001</v>
      </c>
      <c r="J442" t="n">
        <v>0.0701402124305891</v>
      </c>
      <c r="K442" t="n">
        <v>0.3026973270731492</v>
      </c>
      <c r="L442" t="b">
        <v>1</v>
      </c>
      <c r="M442" t="b">
        <v>1</v>
      </c>
      <c r="N442" t="inlineStr">
        <is>
          <t>ref</t>
        </is>
      </c>
      <c r="O442" t="n">
        <v>-40</v>
      </c>
      <c r="P442" t="n">
        <v>0.002441</v>
      </c>
      <c r="Q442" t="n">
        <v>-35</v>
      </c>
      <c r="R442" t="n">
        <v>0.06714000000000001</v>
      </c>
      <c r="S442">
        <f>IMAGE("https://mitra.stanford.edu/kundaje/oak/projects/neuro-variants/variant_position/credible/roussos_2024/variant_figures/roussos_2024.childhood.GLU/rs34902253_count_position.png",4,220,900)</f>
        <v/>
      </c>
      <c r="T442">
        <f>IMAGE("https://mitra.stanford.edu/kundaje/oak/projects/neuro-variants/variant_position/credible/roussos_2024/variant_figures/roussos_2024.childhood.GLU/rs34902253_profile_position.png",4,220,900)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0.0388149044</v>
      </c>
      <c r="G443" t="n">
        <v>0.2480083734784017</v>
      </c>
      <c r="H443" t="n">
        <v>0.0107859307221226</v>
      </c>
      <c r="I443" t="n">
        <v>0.5642106367016853</v>
      </c>
      <c r="J443" t="n">
        <v>0.3641072661151575</v>
      </c>
      <c r="K443" t="n">
        <v>0.0747342717207824</v>
      </c>
      <c r="L443" t="b">
        <v>0</v>
      </c>
      <c r="M443" t="b">
        <v>0</v>
      </c>
      <c r="N443" t="inlineStr">
        <is>
          <t>alt</t>
        </is>
      </c>
      <c r="O443" t="n">
        <v>50</v>
      </c>
      <c r="P443" t="n">
        <v>0.001197</v>
      </c>
      <c r="Q443" t="n">
        <v>85</v>
      </c>
      <c r="R443" t="n">
        <v>0.0603</v>
      </c>
      <c r="S443">
        <f>IMAGE("https://mitra.stanford.edu/kundaje/oak/projects/neuro-variants/variant_position/credible/roussos_2024/variant_figures/roussos_2024.childhood.GLU/rs7950225_count_position.png",4,220,900)</f>
        <v/>
      </c>
      <c r="T443">
        <f>IMAGE("https://mitra.stanford.edu/kundaje/oak/projects/neuro-variants/variant_position/credible/roussos_2024/variant_figures/roussos_2024.childhood.GLU/rs7950225_profile_position.png",4,220,900)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-0.126851476</v>
      </c>
      <c r="G444" t="n">
        <v>0.0255290873868054</v>
      </c>
      <c r="H444" t="n">
        <v>0.0211399941250918</v>
      </c>
      <c r="I444" t="n">
        <v>0.0823437963787261</v>
      </c>
      <c r="J444" t="n">
        <v>0.0542996074876116</v>
      </c>
      <c r="K444" t="n">
        <v>0.3364157404932321</v>
      </c>
      <c r="L444" t="b">
        <v>0</v>
      </c>
      <c r="M444" t="b">
        <v>0</v>
      </c>
      <c r="N444" t="inlineStr">
        <is>
          <t>ref</t>
        </is>
      </c>
      <c r="O444" t="n">
        <v>-70</v>
      </c>
      <c r="P444" t="n">
        <v>0.007423</v>
      </c>
      <c r="Q444" t="n">
        <v>100</v>
      </c>
      <c r="R444" t="n">
        <v>0.114</v>
      </c>
      <c r="S444">
        <f>IMAGE("https://mitra.stanford.edu/kundaje/oak/projects/neuro-variants/variant_position/credible/roussos_2024/variant_figures/roussos_2024.childhood.GLU/rs12577418_count_position.png",4,220,900)</f>
        <v/>
      </c>
      <c r="T444">
        <f>IMAGE("https://mitra.stanford.edu/kundaje/oak/projects/neuro-variants/variant_position/credible/roussos_2024/variant_figures/roussos_2024.childhood.GLU/rs12577418_profile_position.png",4,220,900)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-0.0184577930599999</v>
      </c>
      <c r="G445" t="n">
        <v>0.5061769079573107</v>
      </c>
      <c r="H445" t="n">
        <v>0.0306716845735942</v>
      </c>
      <c r="I445" t="n">
        <v>0.0192015977880284</v>
      </c>
      <c r="J445" t="n">
        <v>0.0111932994735594</v>
      </c>
      <c r="K445" t="n">
        <v>0.5727991817269296</v>
      </c>
      <c r="L445" t="b">
        <v>1</v>
      </c>
      <c r="M445" t="b">
        <v>0</v>
      </c>
      <c r="N445" t="inlineStr">
        <is>
          <t>ref</t>
        </is>
      </c>
      <c r="O445" t="n">
        <v>80</v>
      </c>
      <c r="P445" t="n">
        <v>0.005203</v>
      </c>
      <c r="Q445" t="n">
        <v>80</v>
      </c>
      <c r="R445" t="n">
        <v>0.06122</v>
      </c>
      <c r="S445">
        <f>IMAGE("https://mitra.stanford.edu/kundaje/oak/projects/neuro-variants/variant_position/credible/roussos_2024/variant_figures/roussos_2024.childhood.GLU/rs11024151_count_position.png",4,220,900)</f>
        <v/>
      </c>
      <c r="T445">
        <f>IMAGE("https://mitra.stanford.edu/kundaje/oak/projects/neuro-variants/variant_position/credible/roussos_2024/variant_figures/roussos_2024.childhood.GLU/rs11024151_profile_position.png",4,220,900)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0.079465177</v>
      </c>
      <c r="G446" t="n">
        <v>0.093981054009078</v>
      </c>
      <c r="H446" t="n">
        <v>0.0153883116283952</v>
      </c>
      <c r="I446" t="n">
        <v>0.2283522837304685</v>
      </c>
      <c r="J446" t="n">
        <v>0.1764430754015267</v>
      </c>
      <c r="K446" t="n">
        <v>0.168340403385059</v>
      </c>
      <c r="L446" t="b">
        <v>0</v>
      </c>
      <c r="M446" t="b">
        <v>0</v>
      </c>
      <c r="N446" t="inlineStr">
        <is>
          <t>alt</t>
        </is>
      </c>
      <c r="O446" t="n">
        <v>50</v>
      </c>
      <c r="P446" t="n">
        <v>0.000511</v>
      </c>
      <c r="Q446" t="n">
        <v>5</v>
      </c>
      <c r="R446" t="n">
        <v>0.01074</v>
      </c>
      <c r="S446">
        <f>IMAGE("https://mitra.stanford.edu/kundaje/oak/projects/neuro-variants/variant_position/credible/roussos_2024/variant_figures/roussos_2024.childhood.GLU/rs1987694_count_position.png",4,220,900)</f>
        <v/>
      </c>
      <c r="T446">
        <f>IMAGE("https://mitra.stanford.edu/kundaje/oak/projects/neuro-variants/variant_position/credible/roussos_2024/variant_figures/roussos_2024.childhood.GLU/rs1987694_profile_position.png",4,220,900)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-0.00530272224</v>
      </c>
      <c r="G447" t="n">
        <v>0.739463562128345</v>
      </c>
      <c r="H447" t="n">
        <v>0.021537266025787</v>
      </c>
      <c r="I447" t="n">
        <v>0.0766054004683268</v>
      </c>
      <c r="J447" t="n">
        <v>0.1319367035140675</v>
      </c>
      <c r="K447" t="n">
        <v>0.2068187450526045</v>
      </c>
      <c r="L447" t="b">
        <v>0</v>
      </c>
      <c r="M447" t="b">
        <v>0</v>
      </c>
      <c r="N447" t="inlineStr">
        <is>
          <t>ref</t>
        </is>
      </c>
      <c r="O447" t="n">
        <v>100</v>
      </c>
      <c r="P447" t="n">
        <v>0.0516</v>
      </c>
      <c r="Q447" t="n">
        <v>100</v>
      </c>
      <c r="R447" t="n">
        <v>0.2725</v>
      </c>
      <c r="S447">
        <f>IMAGE("https://mitra.stanford.edu/kundaje/oak/projects/neuro-variants/variant_position/credible/roussos_2024/variant_figures/roussos_2024.childhood.GLU/rs214934_count_position.png",4,220,900)</f>
        <v/>
      </c>
      <c r="T447">
        <f>IMAGE("https://mitra.stanford.edu/kundaje/oak/projects/neuro-variants/variant_position/credible/roussos_2024/variant_figures/roussos_2024.childhood.GLU/rs214934_profile_position.png",4,220,900)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-0.01057734052</v>
      </c>
      <c r="G448" t="n">
        <v>0.6466566247224957</v>
      </c>
      <c r="H448" t="n">
        <v>0.0282271401906777</v>
      </c>
      <c r="I448" t="n">
        <v>0.0269596790844359</v>
      </c>
      <c r="J448" t="n">
        <v>0.0070569812603665</v>
      </c>
      <c r="K448" t="n">
        <v>0.6338330424206179</v>
      </c>
      <c r="L448" t="b">
        <v>0</v>
      </c>
      <c r="M448" t="b">
        <v>0</v>
      </c>
      <c r="N448" t="inlineStr">
        <is>
          <t>ref</t>
        </is>
      </c>
      <c r="O448" t="n">
        <v>100</v>
      </c>
      <c r="P448" t="n">
        <v>0.002441</v>
      </c>
      <c r="Q448" t="n">
        <v>95</v>
      </c>
      <c r="R448" t="n">
        <v>0.1508</v>
      </c>
      <c r="S448">
        <f>IMAGE("https://mitra.stanford.edu/kundaje/oak/projects/neuro-variants/variant_position/credible/roussos_2024/variant_figures/roussos_2024.childhood.GLU/rs664382_count_position.png",4,220,900)</f>
        <v/>
      </c>
      <c r="T448">
        <f>IMAGE("https://mitra.stanford.edu/kundaje/oak/projects/neuro-variants/variant_position/credible/roussos_2024/variant_figures/roussos_2024.childhood.GLU/rs664382_profile_position.png",4,220,900)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-0.197757298</v>
      </c>
      <c r="G449" t="n">
        <v>0.0077423766211186</v>
      </c>
      <c r="H449" t="n">
        <v>0.0266147295740779</v>
      </c>
      <c r="I449" t="n">
        <v>0.0342774221559273</v>
      </c>
      <c r="J449" t="n">
        <v>0.006814880443405</v>
      </c>
      <c r="K449" t="n">
        <v>0.6375095111964725</v>
      </c>
      <c r="L449" t="b">
        <v>1</v>
      </c>
      <c r="M449" t="b">
        <v>1</v>
      </c>
      <c r="N449" t="inlineStr">
        <is>
          <t>ref</t>
        </is>
      </c>
      <c r="O449" t="n">
        <v>-100</v>
      </c>
      <c r="P449" t="n">
        <v>0.09424</v>
      </c>
      <c r="Q449" t="n">
        <v>-95</v>
      </c>
      <c r="R449" t="n">
        <v>0.0517</v>
      </c>
      <c r="S449">
        <f>IMAGE("https://mitra.stanford.edu/kundaje/oak/projects/neuro-variants/variant_position/credible/roussos_2024/variant_figures/roussos_2024.childhood.GLU/rs665311_count_position.png",4,220,900)</f>
        <v/>
      </c>
      <c r="T449">
        <f>IMAGE("https://mitra.stanford.edu/kundaje/oak/projects/neuro-variants/variant_position/credible/roussos_2024/variant_figures/roussos_2024.childhood.GLU/rs665311_profile_position.png",4,220,900)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-0.0605245709999999</v>
      </c>
      <c r="G450" t="n">
        <v>0.1340804611085812</v>
      </c>
      <c r="H450" t="n">
        <v>0.0179928328290593</v>
      </c>
      <c r="I450" t="n">
        <v>0.14590590827419</v>
      </c>
      <c r="J450" t="n">
        <v>0.111867060896082</v>
      </c>
      <c r="K450" t="n">
        <v>0.2298059947108259</v>
      </c>
      <c r="L450" t="b">
        <v>0</v>
      </c>
      <c r="M450" t="b">
        <v>0</v>
      </c>
      <c r="N450" t="inlineStr">
        <is>
          <t>ref</t>
        </is>
      </c>
      <c r="O450" t="n">
        <v>65</v>
      </c>
      <c r="P450" t="n">
        <v>0.00621</v>
      </c>
      <c r="Q450" t="n">
        <v>90</v>
      </c>
      <c r="R450" t="n">
        <v>0.1371</v>
      </c>
      <c r="S450">
        <f>IMAGE("https://mitra.stanford.edu/kundaje/oak/projects/neuro-variants/variant_position/credible/roussos_2024/variant_figures/roussos_2024.childhood.GLU/rs615358_count_position.png",4,220,900)</f>
        <v/>
      </c>
      <c r="T450">
        <f>IMAGE("https://mitra.stanford.edu/kundaje/oak/projects/neuro-variants/variant_position/credible/roussos_2024/variant_figures/roussos_2024.childhood.GLU/rs615358_profile_position.png",4,220,900)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-0.0518359348</v>
      </c>
      <c r="G451" t="n">
        <v>0.1720589696297071</v>
      </c>
      <c r="H451" t="n">
        <v>0.0179153665875949</v>
      </c>
      <c r="I451" t="n">
        <v>0.1453702873319696</v>
      </c>
      <c r="J451" t="n">
        <v>0.1092534022891404</v>
      </c>
      <c r="K451" t="n">
        <v>0.2334292869084845</v>
      </c>
      <c r="L451" t="b">
        <v>0</v>
      </c>
      <c r="M451" t="b">
        <v>0</v>
      </c>
      <c r="N451" t="inlineStr">
        <is>
          <t>ref</t>
        </is>
      </c>
      <c r="O451" t="n">
        <v>15</v>
      </c>
      <c r="P451" t="n">
        <v>0.0010605</v>
      </c>
      <c r="Q451" t="n">
        <v>40</v>
      </c>
      <c r="R451" t="n">
        <v>0.0293</v>
      </c>
      <c r="S451">
        <f>IMAGE("https://mitra.stanford.edu/kundaje/oak/projects/neuro-variants/variant_position/credible/roussos_2024/variant_figures/roussos_2024.childhood.GLU/rs615424_count_position.png",4,220,900)</f>
        <v/>
      </c>
      <c r="T451">
        <f>IMAGE("https://mitra.stanford.edu/kundaje/oak/projects/neuro-variants/variant_position/credible/roussos_2024/variant_figures/roussos_2024.childhood.GLU/rs615424_profile_position.png",4,220,900)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0.0438268828</v>
      </c>
      <c r="G452" t="n">
        <v>0.2063218132661362</v>
      </c>
      <c r="H452" t="n">
        <v>0.0115490596219714</v>
      </c>
      <c r="I452" t="n">
        <v>0.4551380288397941</v>
      </c>
      <c r="J452" t="n">
        <v>0.0124954928039395</v>
      </c>
      <c r="K452" t="n">
        <v>0.5601633670303399</v>
      </c>
      <c r="L452" t="b">
        <v>0</v>
      </c>
      <c r="M452" t="b">
        <v>0</v>
      </c>
      <c r="N452" t="inlineStr">
        <is>
          <t>alt</t>
        </is>
      </c>
      <c r="O452" t="n">
        <v>75</v>
      </c>
      <c r="P452" t="n">
        <v>0.004498</v>
      </c>
      <c r="Q452" t="n">
        <v>-60</v>
      </c>
      <c r="R452" t="n">
        <v>0.05792</v>
      </c>
      <c r="S452">
        <f>IMAGE("https://mitra.stanford.edu/kundaje/oak/projects/neuro-variants/variant_position/credible/roussos_2024/variant_figures/roussos_2024.childhood.GLU/rs2553965_count_position.png",4,220,900)</f>
        <v/>
      </c>
      <c r="T452">
        <f>IMAGE("https://mitra.stanford.edu/kundaje/oak/projects/neuro-variants/variant_position/credible/roussos_2024/variant_figures/roussos_2024.childhood.GLU/rs2553965_profile_position.png",4,220,900)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-0.18423959</v>
      </c>
      <c r="G453" t="n">
        <v>0.009434216697081501</v>
      </c>
      <c r="H453" t="n">
        <v>0.0251364914683066</v>
      </c>
      <c r="I453" t="n">
        <v>0.0428002306153565</v>
      </c>
      <c r="J453" t="n">
        <v>0.0513264034120761</v>
      </c>
      <c r="K453" t="n">
        <v>0.3461145977360179</v>
      </c>
      <c r="L453" t="b">
        <v>1</v>
      </c>
      <c r="M453" t="b">
        <v>1</v>
      </c>
      <c r="N453" t="inlineStr">
        <is>
          <t>ref</t>
        </is>
      </c>
      <c r="O453" t="n">
        <v>90</v>
      </c>
      <c r="P453" t="n">
        <v>0.01698</v>
      </c>
      <c r="Q453" t="n">
        <v>-40</v>
      </c>
      <c r="R453" t="n">
        <v>0.031</v>
      </c>
      <c r="S453">
        <f>IMAGE("https://mitra.stanford.edu/kundaje/oak/projects/neuro-variants/variant_position/credible/roussos_2024/variant_figures/roussos_2024.childhood.GLU/rs712017_count_position.png",4,220,900)</f>
        <v/>
      </c>
      <c r="T453">
        <f>IMAGE("https://mitra.stanford.edu/kundaje/oak/projects/neuro-variants/variant_position/credible/roussos_2024/variant_figures/roussos_2024.childhood.GLU/rs712017_profile_position.png",4,220,900)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-0.00622095874</v>
      </c>
      <c r="G454" t="n">
        <v>0.7733333194835683</v>
      </c>
      <c r="H454" t="n">
        <v>0.0133924481244219</v>
      </c>
      <c r="I454" t="n">
        <v>0.3458907227534251</v>
      </c>
      <c r="J454" t="n">
        <v>0.0129189116795615</v>
      </c>
      <c r="K454" t="n">
        <v>0.5631708116174112</v>
      </c>
      <c r="L454" t="b">
        <v>0</v>
      </c>
      <c r="M454" t="b">
        <v>0</v>
      </c>
      <c r="N454" t="inlineStr">
        <is>
          <t>ref</t>
        </is>
      </c>
      <c r="O454" t="n">
        <v>40</v>
      </c>
      <c r="P454" t="n">
        <v>0.01797</v>
      </c>
      <c r="Q454" t="n">
        <v>-55</v>
      </c>
      <c r="R454" t="n">
        <v>0.02765</v>
      </c>
      <c r="S454">
        <f>IMAGE("https://mitra.stanford.edu/kundaje/oak/projects/neuro-variants/variant_position/credible/roussos_2024/variant_figures/roussos_2024.childhood.GLU/rs813212_count_position.png",4,220,900)</f>
        <v/>
      </c>
      <c r="T454">
        <f>IMAGE("https://mitra.stanford.edu/kundaje/oak/projects/neuro-variants/variant_position/credible/roussos_2024/variant_figures/roussos_2024.childhood.GLU/rs813212_profile_position.png",4,220,900)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0.0820886376</v>
      </c>
      <c r="G455" t="n">
        <v>0.069424837158774</v>
      </c>
      <c r="H455" t="n">
        <v>0.0131782992797216</v>
      </c>
      <c r="I455" t="n">
        <v>0.3542020542127007</v>
      </c>
      <c r="J455" t="n">
        <v>0.0050604221826161</v>
      </c>
      <c r="K455" t="n">
        <v>0.6860488141076201</v>
      </c>
      <c r="L455" t="b">
        <v>0</v>
      </c>
      <c r="M455" t="b">
        <v>0</v>
      </c>
      <c r="N455" t="inlineStr">
        <is>
          <t>alt</t>
        </is>
      </c>
      <c r="O455" t="n">
        <v>-75</v>
      </c>
      <c r="P455" t="n">
        <v>0.003876</v>
      </c>
      <c r="Q455" t="n">
        <v>-15</v>
      </c>
      <c r="R455" t="n">
        <v>0.03363</v>
      </c>
      <c r="S455">
        <f>IMAGE("https://mitra.stanford.edu/kundaje/oak/projects/neuro-variants/variant_position/credible/roussos_2024/variant_figures/roussos_2024.childhood.GLU/rs1087110_count_position.png",4,220,900)</f>
        <v/>
      </c>
      <c r="T455">
        <f>IMAGE("https://mitra.stanford.edu/kundaje/oak/projects/neuro-variants/variant_position/credible/roussos_2024/variant_figures/roussos_2024.childhood.GLU/rs1087110_profile_position.png",4,220,900)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0.1036720744</v>
      </c>
      <c r="G456" t="n">
        <v>0.060562368234971</v>
      </c>
      <c r="H456" t="n">
        <v>0.0216856822975822</v>
      </c>
      <c r="I456" t="n">
        <v>0.08357181401480859</v>
      </c>
      <c r="J456" t="n">
        <v>0.3227595372268639</v>
      </c>
      <c r="K456" t="n">
        <v>0.0880390587660172</v>
      </c>
      <c r="L456" t="b">
        <v>0</v>
      </c>
      <c r="M456" t="b">
        <v>0</v>
      </c>
      <c r="N456" t="inlineStr">
        <is>
          <t>alt</t>
        </is>
      </c>
      <c r="O456" t="n">
        <v>45</v>
      </c>
      <c r="P456" t="n">
        <v>0.010254</v>
      </c>
      <c r="Q456" t="n">
        <v>95</v>
      </c>
      <c r="R456" t="n">
        <v>0.1255</v>
      </c>
      <c r="S456">
        <f>IMAGE("https://mitra.stanford.edu/kundaje/oak/projects/neuro-variants/variant_position/credible/roussos_2024/variant_figures/roussos_2024.childhood.GLU/rs1698887_count_position.png",4,220,900)</f>
        <v/>
      </c>
      <c r="T456">
        <f>IMAGE("https://mitra.stanford.edu/kundaje/oak/projects/neuro-variants/variant_position/credible/roussos_2024/variant_figures/roussos_2024.childhood.GLU/rs1698887_profile_position.png",4,220,900)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0.0572945524</v>
      </c>
      <c r="G457" t="n">
        <v>0.1369540241476512</v>
      </c>
      <c r="H457" t="n">
        <v>0.0121895105547261</v>
      </c>
      <c r="I457" t="n">
        <v>0.434153263611467</v>
      </c>
      <c r="J457" t="n">
        <v>0.3799859890591034</v>
      </c>
      <c r="K457" t="n">
        <v>0.06979579130107789</v>
      </c>
      <c r="L457" t="b">
        <v>0</v>
      </c>
      <c r="M457" t="b">
        <v>0</v>
      </c>
      <c r="N457" t="inlineStr">
        <is>
          <t>alt</t>
        </is>
      </c>
      <c r="O457" t="n">
        <v>-90</v>
      </c>
      <c r="P457" t="n">
        <v>0.1836</v>
      </c>
      <c r="Q457" t="n">
        <v>-90</v>
      </c>
      <c r="R457" t="n">
        <v>0.5117</v>
      </c>
      <c r="S457">
        <f>IMAGE("https://mitra.stanford.edu/kundaje/oak/projects/neuro-variants/variant_position/credible/roussos_2024/variant_figures/roussos_2024.childhood.GLU/rs11025099_count_position.png",4,220,900)</f>
        <v/>
      </c>
      <c r="T457">
        <f>IMAGE("https://mitra.stanford.edu/kundaje/oak/projects/neuro-variants/variant_position/credible/roussos_2024/variant_figures/roussos_2024.childhood.GLU/rs11025099_profile_position.png",4,220,900)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0.07023889480000001</v>
      </c>
      <c r="G458" t="n">
        <v>0.0954421041605279</v>
      </c>
      <c r="H458" t="n">
        <v>0.0211307433454379</v>
      </c>
      <c r="I458" t="n">
        <v>0.0830396176485584</v>
      </c>
      <c r="J458" t="n">
        <v>0.0856604201221836</v>
      </c>
      <c r="K458" t="n">
        <v>0.2701007130568439</v>
      </c>
      <c r="L458" t="b">
        <v>0</v>
      </c>
      <c r="M458" t="b">
        <v>0</v>
      </c>
      <c r="N458" t="inlineStr">
        <is>
          <t>alt</t>
        </is>
      </c>
      <c r="O458" t="n">
        <v>-90</v>
      </c>
      <c r="P458" t="n">
        <v>0.01862</v>
      </c>
      <c r="Q458" t="n">
        <v>-75</v>
      </c>
      <c r="R458" t="n">
        <v>0.1471</v>
      </c>
      <c r="S458">
        <f>IMAGE("https://mitra.stanford.edu/kundaje/oak/projects/neuro-variants/variant_position/credible/roussos_2024/variant_figures/roussos_2024.childhood.GLU/rs10833094_count_position.png",4,220,900)</f>
        <v/>
      </c>
      <c r="T458">
        <f>IMAGE("https://mitra.stanford.edu/kundaje/oak/projects/neuro-variants/variant_position/credible/roussos_2024/variant_figures/roussos_2024.childhood.GLU/rs10833094_profile_position.png",4,220,900)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-0.0299718728</v>
      </c>
      <c r="G459" t="n">
        <v>0.3411972618377226</v>
      </c>
      <c r="H459" t="n">
        <v>0.011154241988556</v>
      </c>
      <c r="I459" t="n">
        <v>0.5255397698264836</v>
      </c>
      <c r="J459" t="n">
        <v>0.0150648521124583</v>
      </c>
      <c r="K459" t="n">
        <v>0.5375902242440752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0.0224</v>
      </c>
      <c r="Q459" t="n">
        <v>95</v>
      </c>
      <c r="R459" t="n">
        <v>0.1274</v>
      </c>
      <c r="S459">
        <f>IMAGE("https://mitra.stanford.edu/kundaje/oak/projects/neuro-variants/variant_position/credible/roussos_2024/variant_figures/roussos_2024.childhood.GLU/rs57208920_count_position.png",4,220,900)</f>
        <v/>
      </c>
      <c r="T459">
        <f>IMAGE("https://mitra.stanford.edu/kundaje/oak/projects/neuro-variants/variant_position/credible/roussos_2024/variant_figures/roussos_2024.childhood.GLU/rs57208920_profile_position.png",4,220,900)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0.0109189689999999</v>
      </c>
      <c r="G460" t="n">
        <v>0.6446545961117578</v>
      </c>
      <c r="H460" t="n">
        <v>0.0377788144464036</v>
      </c>
      <c r="I460" t="n">
        <v>0.0082313303965497</v>
      </c>
      <c r="J460" t="n">
        <v>0.110406214264374</v>
      </c>
      <c r="K460" t="n">
        <v>0.2305606413210471</v>
      </c>
      <c r="L460" t="b">
        <v>1</v>
      </c>
      <c r="M460" t="b">
        <v>1</v>
      </c>
      <c r="N460" t="inlineStr">
        <is>
          <t>alt</t>
        </is>
      </c>
      <c r="O460" t="n">
        <v>100</v>
      </c>
      <c r="P460" t="n">
        <v>0.01602</v>
      </c>
      <c r="Q460" t="n">
        <v>-100</v>
      </c>
      <c r="R460" t="n">
        <v>0.09753000000000001</v>
      </c>
      <c r="S460">
        <f>IMAGE("https://mitra.stanford.edu/kundaje/oak/projects/neuro-variants/variant_position/credible/roussos_2024/variant_figures/roussos_2024.childhood.GLU/rs10766541_count_position.png",4,220,900)</f>
        <v/>
      </c>
      <c r="T460">
        <f>IMAGE("https://mitra.stanford.edu/kundaje/oak/projects/neuro-variants/variant_position/credible/roussos_2024/variant_figures/roussos_2024.childhood.GLU/rs10766541_profile_position.png",4,220,900)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0.06406243199999991</v>
      </c>
      <c r="G461" t="n">
        <v>0.1292807877680105</v>
      </c>
      <c r="H461" t="n">
        <v>0.0314840511884006</v>
      </c>
      <c r="I461" t="n">
        <v>0.0196788183371075</v>
      </c>
      <c r="J461" t="n">
        <v>0.0029010889385681</v>
      </c>
      <c r="K461" t="n">
        <v>0.7332762201609904</v>
      </c>
      <c r="L461" t="b">
        <v>0</v>
      </c>
      <c r="M461" t="b">
        <v>0</v>
      </c>
      <c r="N461" t="inlineStr">
        <is>
          <t>alt</t>
        </is>
      </c>
      <c r="O461" t="n">
        <v>-25</v>
      </c>
      <c r="P461" t="n">
        <v>0.001274</v>
      </c>
      <c r="Q461" t="n">
        <v>10</v>
      </c>
      <c r="R461" t="n">
        <v>0.01563</v>
      </c>
      <c r="S461">
        <f>IMAGE("https://mitra.stanford.edu/kundaje/oak/projects/neuro-variants/variant_position/credible/roussos_2024/variant_figures/roussos_2024.childhood.GLU/rs7940014_count_position.png",4,220,900)</f>
        <v/>
      </c>
      <c r="T461">
        <f>IMAGE("https://mitra.stanford.edu/kundaje/oak/projects/neuro-variants/variant_position/credible/roussos_2024/variant_figures/roussos_2024.childhood.GLU/rs7940014_profile_position.png",4,220,900)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-0.103248078</v>
      </c>
      <c r="G462" t="n">
        <v>0.0433275094990206</v>
      </c>
      <c r="H462" t="n">
        <v>0.0207211725740783</v>
      </c>
      <c r="I462" t="n">
        <v>0.0878985522753732</v>
      </c>
      <c r="J462" t="n">
        <v>0.0389844128282526</v>
      </c>
      <c r="K462" t="n">
        <v>0.3879721263463743</v>
      </c>
      <c r="L462" t="b">
        <v>0</v>
      </c>
      <c r="M462" t="b">
        <v>0</v>
      </c>
      <c r="N462" t="inlineStr">
        <is>
          <t>ref</t>
        </is>
      </c>
      <c r="O462" t="n">
        <v>100</v>
      </c>
      <c r="P462" t="n">
        <v>0.008240000000000001</v>
      </c>
      <c r="Q462" t="n">
        <v>10</v>
      </c>
      <c r="R462" t="n">
        <v>0.00818</v>
      </c>
      <c r="S462">
        <f>IMAGE("https://mitra.stanford.edu/kundaje/oak/projects/neuro-variants/variant_position/credible/roussos_2024/variant_figures/roussos_2024.childhood.GLU/rs4757792_count_position.png",4,220,900)</f>
        <v/>
      </c>
      <c r="T462">
        <f>IMAGE("https://mitra.stanford.edu/kundaje/oak/projects/neuro-variants/variant_position/credible/roussos_2024/variant_figures/roussos_2024.childhood.GLU/rs4757792_profile_position.png",4,220,900)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-0.122457654</v>
      </c>
      <c r="G463" t="n">
        <v>0.0303740354386479</v>
      </c>
      <c r="H463" t="n">
        <v>0.0345374248423631</v>
      </c>
      <c r="I463" t="n">
        <v>0.012023582770774</v>
      </c>
      <c r="J463" t="n">
        <v>0.0019501993468428</v>
      </c>
      <c r="K463" t="n">
        <v>0.7752714494412002</v>
      </c>
      <c r="L463" t="b">
        <v>0</v>
      </c>
      <c r="M463" t="b">
        <v>0</v>
      </c>
      <c r="N463" t="inlineStr">
        <is>
          <t>ref</t>
        </is>
      </c>
      <c r="O463" t="n">
        <v>30</v>
      </c>
      <c r="P463" t="n">
        <v>0.004074</v>
      </c>
      <c r="Q463" t="n">
        <v>90</v>
      </c>
      <c r="R463" t="n">
        <v>0.05487</v>
      </c>
      <c r="S463">
        <f>IMAGE("https://mitra.stanford.edu/kundaje/oak/projects/neuro-variants/variant_position/credible/roussos_2024/variant_figures/roussos_2024.childhood.GLU/rs17234749_count_position.png",4,220,900)</f>
        <v/>
      </c>
      <c r="T463">
        <f>IMAGE("https://mitra.stanford.edu/kundaje/oak/projects/neuro-variants/variant_position/credible/roussos_2024/variant_figures/roussos_2024.childhood.GLU/rs17234749_profile_position.png",4,220,900)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-0.006613682544</v>
      </c>
      <c r="G464" t="n">
        <v>0.6732767072704405</v>
      </c>
      <c r="H464" t="n">
        <v>0.0213126027602276</v>
      </c>
      <c r="I464" t="n">
        <v>0.0795905434029269</v>
      </c>
      <c r="J464" t="n">
        <v>0.0043217571368229</v>
      </c>
      <c r="K464" t="n">
        <v>0.6890153898029374</v>
      </c>
      <c r="L464" t="b">
        <v>0</v>
      </c>
      <c r="M464" t="b">
        <v>0</v>
      </c>
      <c r="N464" t="inlineStr">
        <is>
          <t>ref</t>
        </is>
      </c>
      <c r="O464" t="n">
        <v>-100</v>
      </c>
      <c r="P464" t="n">
        <v>0.00578</v>
      </c>
      <c r="Q464" t="n">
        <v>-90</v>
      </c>
      <c r="R464" t="n">
        <v>0.07240000000000001</v>
      </c>
      <c r="S464">
        <f>IMAGE("https://mitra.stanford.edu/kundaje/oak/projects/neuro-variants/variant_position/credible/roussos_2024/variant_figures/roussos_2024.childhood.GLU/rs1025883_count_position.png",4,220,900)</f>
        <v/>
      </c>
      <c r="T464">
        <f>IMAGE("https://mitra.stanford.edu/kundaje/oak/projects/neuro-variants/variant_position/credible/roussos_2024/variant_figures/roussos_2024.childhood.GLU/rs1025883_profile_position.png",4,220,900)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-0.01511838184</v>
      </c>
      <c r="G465" t="n">
        <v>0.5811338385785425</v>
      </c>
      <c r="H465" t="n">
        <v>0.0213596156283181</v>
      </c>
      <c r="I465" t="n">
        <v>0.0783150921828009</v>
      </c>
      <c r="J465" t="n">
        <v>0.070034100157623</v>
      </c>
      <c r="K465" t="n">
        <v>0.3052223155933645</v>
      </c>
      <c r="L465" t="b">
        <v>0</v>
      </c>
      <c r="M465" t="b">
        <v>0</v>
      </c>
      <c r="N465" t="inlineStr">
        <is>
          <t>ref</t>
        </is>
      </c>
      <c r="O465" t="n">
        <v>-80</v>
      </c>
      <c r="P465" t="n">
        <v>0.01636</v>
      </c>
      <c r="Q465" t="n">
        <v>95</v>
      </c>
      <c r="R465" t="n">
        <v>0.1555</v>
      </c>
      <c r="S465">
        <f>IMAGE("https://mitra.stanford.edu/kundaje/oak/projects/neuro-variants/variant_position/credible/roussos_2024/variant_figures/roussos_2024.childhood.GLU/rs11027838_count_position.png",4,220,900)</f>
        <v/>
      </c>
      <c r="T465">
        <f>IMAGE("https://mitra.stanford.edu/kundaje/oak/projects/neuro-variants/variant_position/credible/roussos_2024/variant_figures/roussos_2024.childhood.GLU/rs11027838_profile_position.png",4,220,900)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0.127885129</v>
      </c>
      <c r="G466" t="n">
        <v>0.0244924929222943</v>
      </c>
      <c r="H466" t="n">
        <v>0.0172412828581589</v>
      </c>
      <c r="I466" t="n">
        <v>0.1593892334017388</v>
      </c>
      <c r="J466" t="n">
        <v>0.2284782675883668</v>
      </c>
      <c r="K466" t="n">
        <v>0.1317980463061467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0.0333</v>
      </c>
      <c r="Q466" t="n">
        <v>-70</v>
      </c>
      <c r="R466" t="n">
        <v>0.12305</v>
      </c>
      <c r="S466">
        <f>IMAGE("https://mitra.stanford.edu/kundaje/oak/projects/neuro-variants/variant_position/credible/roussos_2024/variant_figures/roussos_2024.childhood.GLU/rs72875837_count_position.png",4,220,900)</f>
        <v/>
      </c>
      <c r="T466">
        <f>IMAGE("https://mitra.stanford.edu/kundaje/oak/projects/neuro-variants/variant_position/credible/roussos_2024/variant_figures/roussos_2024.childhood.GLU/rs72875837_profile_position.png",4,220,900)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0.0020173328</v>
      </c>
      <c r="G467" t="n">
        <v>0.7578020117692652</v>
      </c>
      <c r="H467" t="n">
        <v>0.0122990526079156</v>
      </c>
      <c r="I467" t="n">
        <v>0.4282770123650582</v>
      </c>
      <c r="J467" t="n">
        <v>0.0016689503126705</v>
      </c>
      <c r="K467" t="n">
        <v>0.8034013398837681</v>
      </c>
      <c r="L467" t="b">
        <v>0</v>
      </c>
      <c r="M467" t="b">
        <v>0</v>
      </c>
      <c r="N467" t="inlineStr">
        <is>
          <t>alt</t>
        </is>
      </c>
      <c r="O467" t="n">
        <v>-80</v>
      </c>
      <c r="P467" t="n">
        <v>0.00203</v>
      </c>
      <c r="Q467" t="n">
        <v>40</v>
      </c>
      <c r="R467" t="n">
        <v>0.04416</v>
      </c>
      <c r="S467">
        <f>IMAGE("https://mitra.stanford.edu/kundaje/oak/projects/neuro-variants/variant_position/credible/roussos_2024/variant_figures/roussos_2024.childhood.GLU/rs1470279_count_position.png",4,220,900)</f>
        <v/>
      </c>
      <c r="T467">
        <f>IMAGE("https://mitra.stanford.edu/kundaje/oak/projects/neuro-variants/variant_position/credible/roussos_2024/variant_figures/roussos_2024.childhood.GLU/rs1470279_profile_position.png",4,220,900)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0.0408583244</v>
      </c>
      <c r="G468" t="n">
        <v>0.2304931710869504</v>
      </c>
      <c r="H468" t="n">
        <v>0.0073344379826702</v>
      </c>
      <c r="I468" t="n">
        <v>0.9161827190988066</v>
      </c>
      <c r="J468" t="n">
        <v>0.1206156572264517</v>
      </c>
      <c r="K468" t="n">
        <v>0.2216487455214825</v>
      </c>
      <c r="L468" t="b">
        <v>0</v>
      </c>
      <c r="M468" t="b">
        <v>0</v>
      </c>
      <c r="N468" t="inlineStr">
        <is>
          <t>alt</t>
        </is>
      </c>
      <c r="O468" t="n">
        <v>100</v>
      </c>
      <c r="P468" t="n">
        <v>0.07263</v>
      </c>
      <c r="Q468" t="n">
        <v>90</v>
      </c>
      <c r="R468" t="n">
        <v>0.2986</v>
      </c>
      <c r="S468">
        <f>IMAGE("https://mitra.stanford.edu/kundaje/oak/projects/neuro-variants/variant_position/credible/roussos_2024/variant_figures/roussos_2024.childhood.GLU/rs35846200_count_position.png",4,220,900)</f>
        <v/>
      </c>
      <c r="T468">
        <f>IMAGE("https://mitra.stanford.edu/kundaje/oak/projects/neuro-variants/variant_position/credible/roussos_2024/variant_figures/roussos_2024.childhood.GLU/rs35846200_profile_position.png",4,220,900)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0.0336641776</v>
      </c>
      <c r="G469" t="n">
        <v>0.2853736407648244</v>
      </c>
      <c r="H469" t="n">
        <v>0.009598822680561</v>
      </c>
      <c r="I469" t="n">
        <v>0.6832237971574106</v>
      </c>
      <c r="J469" t="n">
        <v>0.030736501591684</v>
      </c>
      <c r="K469" t="n">
        <v>0.4300416065250488</v>
      </c>
      <c r="L469" t="b">
        <v>0</v>
      </c>
      <c r="M469" t="b">
        <v>0</v>
      </c>
      <c r="N469" t="inlineStr">
        <is>
          <t>alt</t>
        </is>
      </c>
      <c r="O469" t="n">
        <v>100</v>
      </c>
      <c r="P469" t="n">
        <v>0.00288</v>
      </c>
      <c r="Q469" t="n">
        <v>100</v>
      </c>
      <c r="R469" t="n">
        <v>0.125</v>
      </c>
      <c r="S469">
        <f>IMAGE("https://mitra.stanford.edu/kundaje/oak/projects/neuro-variants/variant_position/credible/roussos_2024/variant_figures/roussos_2024.childhood.GLU/rs11027859_count_position.png",4,220,900)</f>
        <v/>
      </c>
      <c r="T469">
        <f>IMAGE("https://mitra.stanford.edu/kundaje/oak/projects/neuro-variants/variant_position/credible/roussos_2024/variant_figures/roussos_2024.childhood.GLU/rs11027859_profile_position.png",4,220,900)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0.1513804409999999</v>
      </c>
      <c r="G470" t="n">
        <v>0.016378580596624</v>
      </c>
      <c r="H470" t="n">
        <v>0.0327319344365157</v>
      </c>
      <c r="I470" t="n">
        <v>0.0149500331818127</v>
      </c>
      <c r="J470" t="n">
        <v>0.0855285524431577</v>
      </c>
      <c r="K470" t="n">
        <v>0.2661327504923043</v>
      </c>
      <c r="L470" t="b">
        <v>1</v>
      </c>
      <c r="M470" t="b">
        <v>0</v>
      </c>
      <c r="N470" t="inlineStr">
        <is>
          <t>alt</t>
        </is>
      </c>
      <c r="O470" t="n">
        <v>-100</v>
      </c>
      <c r="P470" t="n">
        <v>0.01225</v>
      </c>
      <c r="Q470" t="n">
        <v>-100</v>
      </c>
      <c r="R470" t="n">
        <v>0.05762</v>
      </c>
      <c r="S470">
        <f>IMAGE("https://mitra.stanford.edu/kundaje/oak/projects/neuro-variants/variant_position/credible/roussos_2024/variant_figures/roussos_2024.childhood.GLU/rs11027983_count_position.png",4,220,900)</f>
        <v/>
      </c>
      <c r="T470">
        <f>IMAGE("https://mitra.stanford.edu/kundaje/oak/projects/neuro-variants/variant_position/credible/roussos_2024/variant_figures/roussos_2024.childhood.GLU/rs11027983_profile_position.png",4,220,900)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-0.1546622412</v>
      </c>
      <c r="G471" t="n">
        <v>0.0159214466721163</v>
      </c>
      <c r="H471" t="n">
        <v>0.0306910290268048</v>
      </c>
      <c r="I471" t="n">
        <v>0.0195673973089177</v>
      </c>
      <c r="J471" t="n">
        <v>0.2042290376750079</v>
      </c>
      <c r="K471" t="n">
        <v>0.1443350048038118</v>
      </c>
      <c r="L471" t="b">
        <v>1</v>
      </c>
      <c r="M471" t="b">
        <v>0</v>
      </c>
      <c r="N471" t="inlineStr">
        <is>
          <t>ref</t>
        </is>
      </c>
      <c r="O471" t="n">
        <v>-100</v>
      </c>
      <c r="P471" t="n">
        <v>0.01898</v>
      </c>
      <c r="Q471" t="n">
        <v>-100</v>
      </c>
      <c r="R471" t="n">
        <v>0.11475</v>
      </c>
      <c r="S471">
        <f>IMAGE("https://mitra.stanford.edu/kundaje/oak/projects/neuro-variants/variant_position/credible/roussos_2024/variant_figures/roussos_2024.childhood.GLU/rs1396844_count_position.png",4,220,900)</f>
        <v/>
      </c>
      <c r="T471">
        <f>IMAGE("https://mitra.stanford.edu/kundaje/oak/projects/neuro-variants/variant_position/credible/roussos_2024/variant_figures/roussos_2024.childhood.GLU/rs1396844_profile_position.png",4,220,900)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0.0440862917999999</v>
      </c>
      <c r="G472" t="n">
        <v>0.2130073422727705</v>
      </c>
      <c r="H472" t="n">
        <v>0.0140324711142832</v>
      </c>
      <c r="I472" t="n">
        <v>0.2981239881443432</v>
      </c>
      <c r="J472" t="n">
        <v>0.0083972925917149</v>
      </c>
      <c r="K472" t="n">
        <v>0.6171213761379417</v>
      </c>
      <c r="L472" t="b">
        <v>0</v>
      </c>
      <c r="M472" t="b">
        <v>0</v>
      </c>
      <c r="N472" t="inlineStr">
        <is>
          <t>alt</t>
        </is>
      </c>
      <c r="O472" t="n">
        <v>100</v>
      </c>
      <c r="P472" t="n">
        <v>0.001518</v>
      </c>
      <c r="Q472" t="n">
        <v>-60</v>
      </c>
      <c r="R472" t="n">
        <v>0.0919</v>
      </c>
      <c r="S472">
        <f>IMAGE("https://mitra.stanford.edu/kundaje/oak/projects/neuro-variants/variant_position/credible/roussos_2024/variant_figures/roussos_2024.childhood.GLU/rs11028002_count_position.png",4,220,900)</f>
        <v/>
      </c>
      <c r="T472">
        <f>IMAGE("https://mitra.stanford.edu/kundaje/oak/projects/neuro-variants/variant_position/credible/roussos_2024/variant_figures/roussos_2024.childhood.GLU/rs11028002_profile_position.png",4,220,900)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-0.1452145918</v>
      </c>
      <c r="G473" t="n">
        <v>0.028297326504403</v>
      </c>
      <c r="H473" t="n">
        <v>0.0275632211371823</v>
      </c>
      <c r="I473" t="n">
        <v>0.0306837224626694</v>
      </c>
      <c r="J473" t="n">
        <v>0.0246571955453449</v>
      </c>
      <c r="K473" t="n">
        <v>0.4695855721817374</v>
      </c>
      <c r="L473" t="b">
        <v>0</v>
      </c>
      <c r="M473" t="b">
        <v>0</v>
      </c>
      <c r="N473" t="inlineStr">
        <is>
          <t>ref</t>
        </is>
      </c>
      <c r="O473" t="n">
        <v>30</v>
      </c>
      <c r="P473" t="n">
        <v>0.00876</v>
      </c>
      <c r="Q473" t="n">
        <v>40</v>
      </c>
      <c r="R473" t="n">
        <v>0.1353</v>
      </c>
      <c r="S473">
        <f>IMAGE("https://mitra.stanford.edu/kundaje/oak/projects/neuro-variants/variant_position/credible/roussos_2024/variant_figures/roussos_2024.childhood.GLU/rs11028007_count_position.png",4,220,900)</f>
        <v/>
      </c>
      <c r="T473">
        <f>IMAGE("https://mitra.stanford.edu/kundaje/oak/projects/neuro-variants/variant_position/credible/roussos_2024/variant_figures/roussos_2024.childhood.GLU/rs11028007_profile_position.png",4,220,900)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0.1346462088</v>
      </c>
      <c r="G474" t="n">
        <v>0.0228710003256762</v>
      </c>
      <c r="H474" t="n">
        <v>0.0186094328649307</v>
      </c>
      <c r="I474" t="n">
        <v>0.1294065912335575</v>
      </c>
      <c r="J474" t="n">
        <v>0.0392481481863042</v>
      </c>
      <c r="K474" t="n">
        <v>0.398581857972587</v>
      </c>
      <c r="L474" t="b">
        <v>0</v>
      </c>
      <c r="M474" t="b">
        <v>0</v>
      </c>
      <c r="N474" t="inlineStr">
        <is>
          <t>alt</t>
        </is>
      </c>
      <c r="O474" t="n">
        <v>0</v>
      </c>
      <c r="P474" t="n">
        <v>0</v>
      </c>
      <c r="Q474" t="n">
        <v>5</v>
      </c>
      <c r="R474" t="n">
        <v>0.01465</v>
      </c>
      <c r="S474">
        <f>IMAGE("https://mitra.stanford.edu/kundaje/oak/projects/neuro-variants/variant_position/credible/roussos_2024/variant_figures/roussos_2024.childhood.GLU/rs10834383_count_position.png",4,220,900)</f>
        <v/>
      </c>
      <c r="T474">
        <f>IMAGE("https://mitra.stanford.edu/kundaje/oak/projects/neuro-variants/variant_position/credible/roussos_2024/variant_figures/roussos_2024.childhood.GLU/rs10834383_profile_position.png",4,220,900)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-0.155338014</v>
      </c>
      <c r="G475" t="n">
        <v>0.0171597202951959</v>
      </c>
      <c r="H475" t="n">
        <v>0.0235593782367246</v>
      </c>
      <c r="I475" t="n">
        <v>0.0630257451592333</v>
      </c>
      <c r="J475" t="n">
        <v>0.0500489352715134</v>
      </c>
      <c r="K475" t="n">
        <v>0.3503974242241792</v>
      </c>
      <c r="L475" t="b">
        <v>1</v>
      </c>
      <c r="M475" t="b">
        <v>0</v>
      </c>
      <c r="N475" t="inlineStr">
        <is>
          <t>ref</t>
        </is>
      </c>
      <c r="O475" t="n">
        <v>80</v>
      </c>
      <c r="P475" t="n">
        <v>0.02933</v>
      </c>
      <c r="Q475" t="n">
        <v>55</v>
      </c>
      <c r="R475" t="n">
        <v>0.0249</v>
      </c>
      <c r="S475">
        <f>IMAGE("https://mitra.stanford.edu/kundaje/oak/projects/neuro-variants/variant_position/credible/roussos_2024/variant_figures/roussos_2024.childhood.GLU/rs1509611_count_position.png",4,220,900)</f>
        <v/>
      </c>
      <c r="T475">
        <f>IMAGE("https://mitra.stanford.edu/kundaje/oak/projects/neuro-variants/variant_position/credible/roussos_2024/variant_figures/roussos_2024.childhood.GLU/rs1509611_profile_position.png",4,220,900)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0.0800813326</v>
      </c>
      <c r="G476" t="n">
        <v>0.0765728809878769</v>
      </c>
      <c r="H476" t="n">
        <v>0.0092411956501849</v>
      </c>
      <c r="I476" t="n">
        <v>0.7195654724210675</v>
      </c>
      <c r="J476" t="n">
        <v>0.0018512985875734</v>
      </c>
      <c r="K476" t="n">
        <v>0.7736462848509754</v>
      </c>
      <c r="L476" t="b">
        <v>0</v>
      </c>
      <c r="M476" t="b">
        <v>0</v>
      </c>
      <c r="N476" t="inlineStr">
        <is>
          <t>alt</t>
        </is>
      </c>
      <c r="O476" t="n">
        <v>80</v>
      </c>
      <c r="P476" t="n">
        <v>0.007637</v>
      </c>
      <c r="Q476" t="n">
        <v>95</v>
      </c>
      <c r="R476" t="n">
        <v>0.05872</v>
      </c>
      <c r="S476">
        <f>IMAGE("https://mitra.stanford.edu/kundaje/oak/projects/neuro-variants/variant_position/credible/roussos_2024/variant_figures/roussos_2024.childhood.GLU/rs11028012_count_position.png",4,220,900)</f>
        <v/>
      </c>
      <c r="T476">
        <f>IMAGE("https://mitra.stanford.edu/kundaje/oak/projects/neuro-variants/variant_position/credible/roussos_2024/variant_figures/roussos_2024.childhood.GLU/rs11028012_profile_position.png",4,220,900)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-0.00436411701</v>
      </c>
      <c r="G477" t="n">
        <v>0.7474284033057591</v>
      </c>
      <c r="H477" t="n">
        <v>0.0341707600739578</v>
      </c>
      <c r="I477" t="n">
        <v>0.0125171544116826</v>
      </c>
      <c r="J477" t="n">
        <v>0.0353683538174662</v>
      </c>
      <c r="K477" t="n">
        <v>0.4051303351711846</v>
      </c>
      <c r="L477" t="b">
        <v>1</v>
      </c>
      <c r="M477" t="b">
        <v>0</v>
      </c>
      <c r="N477" t="inlineStr">
        <is>
          <t>ref</t>
        </is>
      </c>
      <c r="O477" t="n">
        <v>-100</v>
      </c>
      <c r="P477" t="n">
        <v>0.05176</v>
      </c>
      <c r="Q477" t="n">
        <v>-100</v>
      </c>
      <c r="R477" t="n">
        <v>0.273</v>
      </c>
      <c r="S477">
        <f>IMAGE("https://mitra.stanford.edu/kundaje/oak/projects/neuro-variants/variant_position/credible/roussos_2024/variant_figures/roussos_2024.childhood.GLU/rs1509615_count_position.png",4,220,900)</f>
        <v/>
      </c>
      <c r="T477">
        <f>IMAGE("https://mitra.stanford.edu/kundaje/oak/projects/neuro-variants/variant_position/credible/roussos_2024/variant_figures/roussos_2024.childhood.GLU/rs1509615_profile_position.png",4,220,900)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-0.0014444202399999</v>
      </c>
      <c r="G478" t="n">
        <v>0.9104636321727596</v>
      </c>
      <c r="H478" t="n">
        <v>0.0067576747052711</v>
      </c>
      <c r="I478" t="n">
        <v>0.9633511919703536</v>
      </c>
      <c r="J478" t="n">
        <v>0.0392234229964869</v>
      </c>
      <c r="K478" t="n">
        <v>0.3887217471151613</v>
      </c>
      <c r="L478" t="b">
        <v>0</v>
      </c>
      <c r="M478" t="b">
        <v>0</v>
      </c>
      <c r="N478" t="inlineStr">
        <is>
          <t>ref</t>
        </is>
      </c>
      <c r="O478" t="n">
        <v>5</v>
      </c>
      <c r="P478" t="n">
        <v>0.0008545</v>
      </c>
      <c r="Q478" t="n">
        <v>-100</v>
      </c>
      <c r="R478" t="n">
        <v>0.141</v>
      </c>
      <c r="S478">
        <f>IMAGE("https://mitra.stanford.edu/kundaje/oak/projects/neuro-variants/variant_position/credible/roussos_2024/variant_figures/roussos_2024.childhood.GLU/rs6484058_count_position.png",4,220,900)</f>
        <v/>
      </c>
      <c r="T478">
        <f>IMAGE("https://mitra.stanford.edu/kundaje/oak/projects/neuro-variants/variant_position/credible/roussos_2024/variant_figures/roussos_2024.childhood.GLU/rs6484058_profile_position.png",4,220,900)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0.083333925</v>
      </c>
      <c r="G479" t="n">
        <v>0.0720410952517682</v>
      </c>
      <c r="H479" t="n">
        <v>0.0148617726178723</v>
      </c>
      <c r="I479" t="n">
        <v>0.2532488925470588</v>
      </c>
      <c r="J479" t="n">
        <v>0.0765306437821298</v>
      </c>
      <c r="K479" t="n">
        <v>0.293373106154575</v>
      </c>
      <c r="L479" t="b">
        <v>0</v>
      </c>
      <c r="M479" t="b">
        <v>0</v>
      </c>
      <c r="N479" t="inlineStr">
        <is>
          <t>alt</t>
        </is>
      </c>
      <c r="O479" t="n">
        <v>-5</v>
      </c>
      <c r="P479" t="n">
        <v>0.0003662</v>
      </c>
      <c r="Q479" t="n">
        <v>70</v>
      </c>
      <c r="R479" t="n">
        <v>0.11523</v>
      </c>
      <c r="S479">
        <f>IMAGE("https://mitra.stanford.edu/kundaje/oak/projects/neuro-variants/variant_position/credible/roussos_2024/variant_figures/roussos_2024.childhood.GLU/rs11028020_count_position.png",4,220,900)</f>
        <v/>
      </c>
      <c r="T479">
        <f>IMAGE("https://mitra.stanford.edu/kundaje/oak/projects/neuro-variants/variant_position/credible/roussos_2024/variant_figures/roussos_2024.childhood.GLU/rs11028020_profile_position.png",4,220,900)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0.0045668929399999</v>
      </c>
      <c r="G480" t="n">
        <v>0.8112293243046965</v>
      </c>
      <c r="H480" t="n">
        <v>0.0179155577633181</v>
      </c>
      <c r="I480" t="n">
        <v>0.1437089709696951</v>
      </c>
      <c r="J480" t="n">
        <v>0.0914224195658668</v>
      </c>
      <c r="K480" t="n">
        <v>0.2673087687925434</v>
      </c>
      <c r="L480" t="b">
        <v>0</v>
      </c>
      <c r="M480" t="b">
        <v>0</v>
      </c>
      <c r="N480" t="inlineStr">
        <is>
          <t>alt</t>
        </is>
      </c>
      <c r="O480" t="n">
        <v>-75</v>
      </c>
      <c r="P480" t="n">
        <v>0.00325</v>
      </c>
      <c r="Q480" t="n">
        <v>100</v>
      </c>
      <c r="R480" t="n">
        <v>0.11597</v>
      </c>
      <c r="S480">
        <f>IMAGE("https://mitra.stanford.edu/kundaje/oak/projects/neuro-variants/variant_position/credible/roussos_2024/variant_figures/roussos_2024.childhood.GLU/rs34167424_count_position.png",4,220,900)</f>
        <v/>
      </c>
      <c r="T480">
        <f>IMAGE("https://mitra.stanford.edu/kundaje/oak/projects/neuro-variants/variant_position/credible/roussos_2024/variant_figures/roussos_2024.childhood.GLU/rs34167424_profile_position.png",4,220,900)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0.0124160925</v>
      </c>
      <c r="G481" t="n">
        <v>0.5855604476000741</v>
      </c>
      <c r="H481" t="n">
        <v>0.0260769959094901</v>
      </c>
      <c r="I481" t="n">
        <v>0.037082087805976</v>
      </c>
      <c r="J481" t="n">
        <v>0.0007654506680952</v>
      </c>
      <c r="K481" t="n">
        <v>0.8464127126830475</v>
      </c>
      <c r="L481" t="b">
        <v>0</v>
      </c>
      <c r="M481" t="b">
        <v>0</v>
      </c>
      <c r="N481" t="inlineStr">
        <is>
          <t>alt</t>
        </is>
      </c>
      <c r="O481" t="n">
        <v>-5</v>
      </c>
      <c r="P481" t="n">
        <v>0.000557</v>
      </c>
      <c r="Q481" t="n">
        <v>-5</v>
      </c>
      <c r="R481" t="n">
        <v>0.009155</v>
      </c>
      <c r="S481">
        <f>IMAGE("https://mitra.stanford.edu/kundaje/oak/projects/neuro-variants/variant_position/credible/roussos_2024/variant_figures/roussos_2024.childhood.GLU/rs1876822_count_position.png",4,220,900)</f>
        <v/>
      </c>
      <c r="T481">
        <f>IMAGE("https://mitra.stanford.edu/kundaje/oak/projects/neuro-variants/variant_position/credible/roussos_2024/variant_figures/roussos_2024.childhood.GLU/rs1876822_profile_position.png",4,220,900)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-0.01816516666</v>
      </c>
      <c r="G482" t="n">
        <v>0.528738632579972</v>
      </c>
      <c r="H482" t="n">
        <v>0.0233640300947311</v>
      </c>
      <c r="I482" t="n">
        <v>0.0575119978677494</v>
      </c>
      <c r="J482" t="n">
        <v>0.0535784561179391</v>
      </c>
      <c r="K482" t="n">
        <v>0.3545088781471303</v>
      </c>
      <c r="L482" t="b">
        <v>0</v>
      </c>
      <c r="M482" t="b">
        <v>0</v>
      </c>
      <c r="N482" t="inlineStr">
        <is>
          <t>ref</t>
        </is>
      </c>
      <c r="O482" t="n">
        <v>100</v>
      </c>
      <c r="P482" t="n">
        <v>0.004784</v>
      </c>
      <c r="Q482" t="n">
        <v>35</v>
      </c>
      <c r="R482" t="n">
        <v>0.05435</v>
      </c>
      <c r="S482">
        <f>IMAGE("https://mitra.stanford.edu/kundaje/oak/projects/neuro-variants/variant_position/credible/roussos_2024/variant_figures/roussos_2024.childhood.GLU/rs1509588_count_position.png",4,220,900)</f>
        <v/>
      </c>
      <c r="T482">
        <f>IMAGE("https://mitra.stanford.edu/kundaje/oak/projects/neuro-variants/variant_position/credible/roussos_2024/variant_figures/roussos_2024.childhood.GLU/rs1509588_profile_position.png",4,220,900)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0.0514649482</v>
      </c>
      <c r="G483" t="n">
        <v>0.1654746149869744</v>
      </c>
      <c r="H483" t="n">
        <v>0.024915980277933</v>
      </c>
      <c r="I483" t="n">
        <v>0.0442908427127685</v>
      </c>
      <c r="J483" t="n">
        <v>0.1632408542553081</v>
      </c>
      <c r="K483" t="n">
        <v>0.1836136741143592</v>
      </c>
      <c r="L483" t="b">
        <v>0</v>
      </c>
      <c r="M483" t="b">
        <v>0</v>
      </c>
      <c r="N483" t="inlineStr">
        <is>
          <t>alt</t>
        </is>
      </c>
      <c r="O483" t="n">
        <v>0</v>
      </c>
      <c r="P483" t="n">
        <v>0</v>
      </c>
      <c r="Q483" t="n">
        <v>-5</v>
      </c>
      <c r="R483" t="n">
        <v>0.002441</v>
      </c>
      <c r="S483">
        <f>IMAGE("https://mitra.stanford.edu/kundaje/oak/projects/neuro-variants/variant_position/credible/roussos_2024/variant_figures/roussos_2024.childhood.GLU/rs10834390_count_position.png",4,220,900)</f>
        <v/>
      </c>
      <c r="T483">
        <f>IMAGE("https://mitra.stanford.edu/kundaje/oak/projects/neuro-variants/variant_position/credible/roussos_2024/variant_figures/roussos_2024.childhood.GLU/rs10834390_profile_position.png",4,220,900)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0.1042102209999999</v>
      </c>
      <c r="G484" t="n">
        <v>0.0415756350512469</v>
      </c>
      <c r="H484" t="n">
        <v>0.0189597729773946</v>
      </c>
      <c r="I484" t="n">
        <v>0.1185346608050837</v>
      </c>
      <c r="J484" t="n">
        <v>0.008462196214985399</v>
      </c>
      <c r="K484" t="n">
        <v>0.6213228099419237</v>
      </c>
      <c r="L484" t="b">
        <v>0</v>
      </c>
      <c r="M484" t="b">
        <v>0</v>
      </c>
      <c r="N484" t="inlineStr">
        <is>
          <t>alt</t>
        </is>
      </c>
      <c r="O484" t="n">
        <v>-65</v>
      </c>
      <c r="P484" t="n">
        <v>0.001572</v>
      </c>
      <c r="Q484" t="n">
        <v>90</v>
      </c>
      <c r="R484" t="n">
        <v>0.0997</v>
      </c>
      <c r="S484">
        <f>IMAGE("https://mitra.stanford.edu/kundaje/oak/projects/neuro-variants/variant_position/credible/roussos_2024/variant_figures/roussos_2024.childhood.GLU/rs10767214_count_position.png",4,220,900)</f>
        <v/>
      </c>
      <c r="T484">
        <f>IMAGE("https://mitra.stanford.edu/kundaje/oak/projects/neuro-variants/variant_position/credible/roussos_2024/variant_figures/roussos_2024.childhood.GLU/rs10767214_profile_position.png",4,220,900)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-0.0502788564</v>
      </c>
      <c r="G485" t="n">
        <v>0.1906280017875657</v>
      </c>
      <c r="H485" t="n">
        <v>0.0108554219812637</v>
      </c>
      <c r="I485" t="n">
        <v>0.5574994943092467</v>
      </c>
      <c r="J485" t="n">
        <v>0.0030288357526244</v>
      </c>
      <c r="K485" t="n">
        <v>0.734951586523341</v>
      </c>
      <c r="L485" t="b">
        <v>0</v>
      </c>
      <c r="M485" t="b">
        <v>0</v>
      </c>
      <c r="N485" t="inlineStr">
        <is>
          <t>ref</t>
        </is>
      </c>
      <c r="O485" t="n">
        <v>50</v>
      </c>
      <c r="P485" t="n">
        <v>0.004433</v>
      </c>
      <c r="Q485" t="n">
        <v>30</v>
      </c>
      <c r="R485" t="n">
        <v>0.04993</v>
      </c>
      <c r="S485">
        <f>IMAGE("https://mitra.stanford.edu/kundaje/oak/projects/neuro-variants/variant_position/credible/roussos_2024/variant_figures/roussos_2024.childhood.GLU/rs7118822_count_position.png",4,220,900)</f>
        <v/>
      </c>
      <c r="T485">
        <f>IMAGE("https://mitra.stanford.edu/kundaje/oak/projects/neuro-variants/variant_position/credible/roussos_2024/variant_figures/roussos_2024.childhood.GLU/rs7118822_profile_position.png",4,220,900)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-0.156442643</v>
      </c>
      <c r="G486" t="n">
        <v>0.01639945114929</v>
      </c>
      <c r="H486" t="n">
        <v>0.0257584246796856</v>
      </c>
      <c r="I486" t="n">
        <v>0.050524404575806</v>
      </c>
      <c r="J486" t="n">
        <v>0.0003616059010786</v>
      </c>
      <c r="K486" t="n">
        <v>0.9103137467466584</v>
      </c>
      <c r="L486" t="b">
        <v>1</v>
      </c>
      <c r="M486" t="b">
        <v>0</v>
      </c>
      <c r="N486" t="inlineStr">
        <is>
          <t>ref</t>
        </is>
      </c>
      <c r="O486" t="n">
        <v>90</v>
      </c>
      <c r="P486" t="n">
        <v>0.00403</v>
      </c>
      <c r="Q486" t="n">
        <v>-40</v>
      </c>
      <c r="R486" t="n">
        <v>0.03943</v>
      </c>
      <c r="S486">
        <f>IMAGE("https://mitra.stanford.edu/kundaje/oak/projects/neuro-variants/variant_position/credible/roussos_2024/variant_figures/roussos_2024.childhood.GLU/rs1396842_count_position.png",4,220,900)</f>
        <v/>
      </c>
      <c r="T486">
        <f>IMAGE("https://mitra.stanford.edu/kundaje/oak/projects/neuro-variants/variant_position/credible/roussos_2024/variant_figures/roussos_2024.childhood.GLU/rs1396842_profile_position.png",4,220,900)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0.0115929253799999</v>
      </c>
      <c r="G487" t="n">
        <v>0.6197081727208051</v>
      </c>
      <c r="H487" t="n">
        <v>0.0110673403396459</v>
      </c>
      <c r="I487" t="n">
        <v>0.5339013933470068</v>
      </c>
      <c r="J487" t="n">
        <v>0.0174631955247406</v>
      </c>
      <c r="K487" t="n">
        <v>0.5109431709368597</v>
      </c>
      <c r="L487" t="b">
        <v>0</v>
      </c>
      <c r="M487" t="b">
        <v>0</v>
      </c>
      <c r="N487" t="inlineStr">
        <is>
          <t>alt</t>
        </is>
      </c>
      <c r="O487" t="n">
        <v>25</v>
      </c>
      <c r="P487" t="n">
        <v>0.002079</v>
      </c>
      <c r="Q487" t="n">
        <v>100</v>
      </c>
      <c r="R487" t="n">
        <v>0.09923999999999999</v>
      </c>
      <c r="S487">
        <f>IMAGE("https://mitra.stanford.edu/kundaje/oak/projects/neuro-variants/variant_position/credible/roussos_2024/variant_figures/roussos_2024.childhood.GLU/rs7113337_count_position.png",4,220,900)</f>
        <v/>
      </c>
      <c r="T487">
        <f>IMAGE("https://mitra.stanford.edu/kundaje/oak/projects/neuro-variants/variant_position/credible/roussos_2024/variant_figures/roussos_2024.childhood.GLU/rs7113337_profile_position.png",4,220,900)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-0.048222428</v>
      </c>
      <c r="G488" t="n">
        <v>0.1932569207789184</v>
      </c>
      <c r="H488" t="n">
        <v>0.0103052765632889</v>
      </c>
      <c r="I488" t="n">
        <v>0.6268631383478178</v>
      </c>
      <c r="J488" t="n">
        <v>0.0036675698229057</v>
      </c>
      <c r="K488" t="n">
        <v>0.7019407342009273</v>
      </c>
      <c r="L488" t="b">
        <v>0</v>
      </c>
      <c r="M488" t="b">
        <v>0</v>
      </c>
      <c r="N488" t="inlineStr">
        <is>
          <t>ref</t>
        </is>
      </c>
      <c r="O488" t="n">
        <v>20</v>
      </c>
      <c r="P488" t="n">
        <v>0.01698</v>
      </c>
      <c r="Q488" t="n">
        <v>0</v>
      </c>
      <c r="R488" t="n">
        <v>0</v>
      </c>
      <c r="S488">
        <f>IMAGE("https://mitra.stanford.edu/kundaje/oak/projects/neuro-variants/variant_position/credible/roussos_2024/variant_figures/roussos_2024.childhood.GLU/rs11606190_count_position.png",4,220,900)</f>
        <v/>
      </c>
      <c r="T488">
        <f>IMAGE("https://mitra.stanford.edu/kundaje/oak/projects/neuro-variants/variant_position/credible/roussos_2024/variant_figures/roussos_2024.childhood.GLU/rs11606190_profile_position.png",4,220,900)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-0.02352175052</v>
      </c>
      <c r="G489" t="n">
        <v>0.4166826866698699</v>
      </c>
      <c r="H489" t="n">
        <v>0.026372543678738</v>
      </c>
      <c r="I489" t="n">
        <v>0.0350465416628325</v>
      </c>
      <c r="J489" t="n">
        <v>0.0096912441921558</v>
      </c>
      <c r="K489" t="n">
        <v>0.612786959969787</v>
      </c>
      <c r="L489" t="b">
        <v>0</v>
      </c>
      <c r="M489" t="b">
        <v>0</v>
      </c>
      <c r="N489" t="inlineStr">
        <is>
          <t>ref</t>
        </is>
      </c>
      <c r="O489" t="n">
        <v>100</v>
      </c>
      <c r="P489" t="n">
        <v>0.07729999999999999</v>
      </c>
      <c r="Q489" t="n">
        <v>50</v>
      </c>
      <c r="R489" t="n">
        <v>0.135</v>
      </c>
      <c r="S489">
        <f>IMAGE("https://mitra.stanford.edu/kundaje/oak/projects/neuro-variants/variant_position/credible/roussos_2024/variant_figures/roussos_2024.childhood.GLU/rs12273233_count_position.png",4,220,900)</f>
        <v/>
      </c>
      <c r="T489">
        <f>IMAGE("https://mitra.stanford.edu/kundaje/oak/projects/neuro-variants/variant_position/credible/roussos_2024/variant_figures/roussos_2024.childhood.GLU/rs12273233_profile_position.png",4,220,900)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-0.0016013082599999</v>
      </c>
      <c r="G490" t="n">
        <v>0.6686580114393774</v>
      </c>
      <c r="H490" t="n">
        <v>0.0235265769492846</v>
      </c>
      <c r="I490" t="n">
        <v>0.0551393224410408</v>
      </c>
      <c r="J490" t="n">
        <v>0.0117403442982681</v>
      </c>
      <c r="K490" t="n">
        <v>0.5900971140283748</v>
      </c>
      <c r="L490" t="b">
        <v>0</v>
      </c>
      <c r="M490" t="b">
        <v>0</v>
      </c>
      <c r="N490" t="inlineStr">
        <is>
          <t>ref</t>
        </is>
      </c>
      <c r="O490" t="n">
        <v>100</v>
      </c>
      <c r="P490" t="n">
        <v>0.02551</v>
      </c>
      <c r="Q490" t="n">
        <v>40</v>
      </c>
      <c r="R490" t="n">
        <v>0.09546</v>
      </c>
      <c r="S490">
        <f>IMAGE("https://mitra.stanford.edu/kundaje/oak/projects/neuro-variants/variant_position/credible/roussos_2024/variant_figures/roussos_2024.childhood.GLU/rs12292666_count_position.png",4,220,900)</f>
        <v/>
      </c>
      <c r="T490">
        <f>IMAGE("https://mitra.stanford.edu/kundaje/oak/projects/neuro-variants/variant_position/credible/roussos_2024/variant_figures/roussos_2024.childhood.GLU/rs12292666_profile_position.png",4,220,900)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0.1096264084</v>
      </c>
      <c r="G491" t="n">
        <v>0.0415615976421144</v>
      </c>
      <c r="H491" t="n">
        <v>0.0294722588037617</v>
      </c>
      <c r="I491" t="n">
        <v>0.0243094414612554</v>
      </c>
      <c r="J491" t="n">
        <v>0.1105205682672792</v>
      </c>
      <c r="K491" t="n">
        <v>0.236610750229287</v>
      </c>
      <c r="L491" t="b">
        <v>0</v>
      </c>
      <c r="M491" t="b">
        <v>0</v>
      </c>
      <c r="N491" t="inlineStr">
        <is>
          <t>alt</t>
        </is>
      </c>
      <c r="O491" t="n">
        <v>-100</v>
      </c>
      <c r="P491" t="n">
        <v>0.0152</v>
      </c>
      <c r="Q491" t="n">
        <v>-65</v>
      </c>
      <c r="R491" t="n">
        <v>0.103</v>
      </c>
      <c r="S491">
        <f>IMAGE("https://mitra.stanford.edu/kundaje/oak/projects/neuro-variants/variant_position/credible/roussos_2024/variant_figures/roussos_2024.childhood.GLU/rs12278238_count_position.png",4,220,900)</f>
        <v/>
      </c>
      <c r="T491">
        <f>IMAGE("https://mitra.stanford.edu/kundaje/oak/projects/neuro-variants/variant_position/credible/roussos_2024/variant_figures/roussos_2024.childhood.GLU/rs12278238_profile_position.png",4,220,900)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0.0042200902</v>
      </c>
      <c r="G492" t="n">
        <v>0.8115268256892552</v>
      </c>
      <c r="H492" t="n">
        <v>0.0209799373789604</v>
      </c>
      <c r="I492" t="n">
        <v>0.08254765378047189</v>
      </c>
      <c r="J492" t="n">
        <v>0.0106781913523648</v>
      </c>
      <c r="K492" t="n">
        <v>0.5831299022572815</v>
      </c>
      <c r="L492" t="b">
        <v>0</v>
      </c>
      <c r="M492" t="b">
        <v>0</v>
      </c>
      <c r="N492" t="inlineStr">
        <is>
          <t>alt</t>
        </is>
      </c>
      <c r="O492" t="n">
        <v>-55</v>
      </c>
      <c r="P492" t="n">
        <v>0.003159</v>
      </c>
      <c r="Q492" t="n">
        <v>100</v>
      </c>
      <c r="R492" t="n">
        <v>0.1168</v>
      </c>
      <c r="S492">
        <f>IMAGE("https://mitra.stanford.edu/kundaje/oak/projects/neuro-variants/variant_position/credible/roussos_2024/variant_figures/roussos_2024.childhood.GLU/rs113123159_count_position.png",4,220,900)</f>
        <v/>
      </c>
      <c r="T492">
        <f>IMAGE("https://mitra.stanford.edu/kundaje/oak/projects/neuro-variants/variant_position/credible/roussos_2024/variant_figures/roussos_2024.childhood.GLU/rs113123159_profile_position.png",4,220,900)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0.00660848006</v>
      </c>
      <c r="G493" t="n">
        <v>0.5554622399016409</v>
      </c>
      <c r="H493" t="n">
        <v>0.008652227473975101</v>
      </c>
      <c r="I493" t="n">
        <v>0.7424835974084253</v>
      </c>
      <c r="J493" t="n">
        <v>0.0651003945728208</v>
      </c>
      <c r="K493" t="n">
        <v>0.312593784650022</v>
      </c>
      <c r="L493" t="b">
        <v>0</v>
      </c>
      <c r="M493" t="b">
        <v>0</v>
      </c>
      <c r="N493" t="inlineStr">
        <is>
          <t>alt</t>
        </is>
      </c>
      <c r="O493" t="n">
        <v>90</v>
      </c>
      <c r="P493" t="n">
        <v>0.00978</v>
      </c>
      <c r="Q493" t="n">
        <v>90</v>
      </c>
      <c r="R493" t="n">
        <v>0.1836</v>
      </c>
      <c r="S493">
        <f>IMAGE("https://mitra.stanford.edu/kundaje/oak/projects/neuro-variants/variant_position/credible/roussos_2024/variant_figures/roussos_2024.childhood.GLU/rs17244352_count_position.png",4,220,900)</f>
        <v/>
      </c>
      <c r="T493">
        <f>IMAGE("https://mitra.stanford.edu/kundaje/oak/projects/neuro-variants/variant_position/credible/roussos_2024/variant_figures/roussos_2024.childhood.GLU/rs17244352_profile_position.png",4,220,900)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0.1373647699999999</v>
      </c>
      <c r="G494" t="n">
        <v>0.020185757643202</v>
      </c>
      <c r="H494" t="n">
        <v>0.0160538954963013</v>
      </c>
      <c r="I494" t="n">
        <v>0.2053887178150912</v>
      </c>
      <c r="J494" t="n">
        <v>0.0186438233385186</v>
      </c>
      <c r="K494" t="n">
        <v>0.5134380217007151</v>
      </c>
      <c r="L494" t="b">
        <v>0</v>
      </c>
      <c r="M494" t="b">
        <v>0</v>
      </c>
      <c r="N494" t="inlineStr">
        <is>
          <t>alt</t>
        </is>
      </c>
      <c r="O494" t="n">
        <v>-100</v>
      </c>
      <c r="P494" t="n">
        <v>0.009950000000000001</v>
      </c>
      <c r="Q494" t="n">
        <v>-20</v>
      </c>
      <c r="R494" t="n">
        <v>0.09470000000000001</v>
      </c>
      <c r="S494">
        <f>IMAGE("https://mitra.stanford.edu/kundaje/oak/projects/neuro-variants/variant_position/credible/roussos_2024/variant_figures/roussos_2024.childhood.GLU/rs12284362_count_position.png",4,220,900)</f>
        <v/>
      </c>
      <c r="T494">
        <f>IMAGE("https://mitra.stanford.edu/kundaje/oak/projects/neuro-variants/variant_position/credible/roussos_2024/variant_figures/roussos_2024.childhood.GLU/rs12284362_profile_position.png",4,220,900)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-0.0245656511</v>
      </c>
      <c r="G495" t="n">
        <v>0.4152785135915806</v>
      </c>
      <c r="H495" t="n">
        <v>0.008067914050233899</v>
      </c>
      <c r="I495" t="n">
        <v>0.8629282537395573</v>
      </c>
      <c r="J495" t="n">
        <v>0.0303347172571522</v>
      </c>
      <c r="K495" t="n">
        <v>0.4496780444255646</v>
      </c>
      <c r="L495" t="b">
        <v>0</v>
      </c>
      <c r="M495" t="b">
        <v>0</v>
      </c>
      <c r="N495" t="inlineStr">
        <is>
          <t>ref</t>
        </is>
      </c>
      <c r="O495" t="n">
        <v>100</v>
      </c>
      <c r="P495" t="n">
        <v>0.01538</v>
      </c>
      <c r="Q495" t="n">
        <v>0</v>
      </c>
      <c r="R495" t="n">
        <v>0</v>
      </c>
      <c r="S495">
        <f>IMAGE("https://mitra.stanford.edu/kundaje/oak/projects/neuro-variants/variant_position/credible/roussos_2024/variant_figures/roussos_2024.childhood.GLU/rs11030238_count_position.png",4,220,900)</f>
        <v/>
      </c>
      <c r="T495">
        <f>IMAGE("https://mitra.stanford.edu/kundaje/oak/projects/neuro-variants/variant_position/credible/roussos_2024/variant_figures/roussos_2024.childhood.GLU/rs11030238_profile_position.png",4,220,900)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0.0183293715999999</v>
      </c>
      <c r="G496" t="n">
        <v>0.4714522162255163</v>
      </c>
      <c r="H496" t="n">
        <v>0.0238927188782418</v>
      </c>
      <c r="I496" t="n">
        <v>0.0519750081785709</v>
      </c>
      <c r="J496" t="n">
        <v>0.0679139151307859</v>
      </c>
      <c r="K496" t="n">
        <v>0.3058525026941758</v>
      </c>
      <c r="L496" t="b">
        <v>0</v>
      </c>
      <c r="M496" t="b">
        <v>0</v>
      </c>
      <c r="N496" t="inlineStr">
        <is>
          <t>alt</t>
        </is>
      </c>
      <c r="O496" t="n">
        <v>95</v>
      </c>
      <c r="P496" t="n">
        <v>0.03662</v>
      </c>
      <c r="Q496" t="n">
        <v>10</v>
      </c>
      <c r="R496" t="n">
        <v>0.04175</v>
      </c>
      <c r="S496">
        <f>IMAGE("https://mitra.stanford.edu/kundaje/oak/projects/neuro-variants/variant_position/credible/roussos_2024/variant_figures/roussos_2024.childhood.GLU/rs11030247_count_position.png",4,220,900)</f>
        <v/>
      </c>
      <c r="T496">
        <f>IMAGE("https://mitra.stanford.edu/kundaje/oak/projects/neuro-variants/variant_position/credible/roussos_2024/variant_figures/roussos_2024.childhood.GLU/rs11030247_profile_position.png",4,220,900)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0.1062780549999999</v>
      </c>
      <c r="G497" t="n">
        <v>0.0378912848057206</v>
      </c>
      <c r="H497" t="n">
        <v>0.0132653903283473</v>
      </c>
      <c r="I497" t="n">
        <v>0.3490618539078118</v>
      </c>
      <c r="J497" t="n">
        <v>0.008331358752202001</v>
      </c>
      <c r="K497" t="n">
        <v>0.6626177295418759</v>
      </c>
      <c r="L497" t="b">
        <v>0</v>
      </c>
      <c r="M497" t="b">
        <v>0</v>
      </c>
      <c r="N497" t="inlineStr">
        <is>
          <t>alt</t>
        </is>
      </c>
      <c r="O497" t="n">
        <v>50</v>
      </c>
      <c r="P497" t="n">
        <v>0.01524</v>
      </c>
      <c r="Q497" t="n">
        <v>100</v>
      </c>
      <c r="R497" t="n">
        <v>0.144</v>
      </c>
      <c r="S497">
        <f>IMAGE("https://mitra.stanford.edu/kundaje/oak/projects/neuro-variants/variant_position/credible/roussos_2024/variant_figures/roussos_2024.childhood.GLU/rs6484357_count_position.png",4,220,900)</f>
        <v/>
      </c>
      <c r="T497">
        <f>IMAGE("https://mitra.stanford.edu/kundaje/oak/projects/neuro-variants/variant_position/credible/roussos_2024/variant_figures/roussos_2024.childhood.GLU/rs6484357_profile_position.png",4,220,900)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0.0406847637999999</v>
      </c>
      <c r="G498" t="n">
        <v>0.2398704251636481</v>
      </c>
      <c r="H498" t="n">
        <v>0.0175211725252903</v>
      </c>
      <c r="I498" t="n">
        <v>0.1550021400699106</v>
      </c>
      <c r="J498" t="n">
        <v>0.028140356660863</v>
      </c>
      <c r="K498" t="n">
        <v>0.448075302919932</v>
      </c>
      <c r="L498" t="b">
        <v>0</v>
      </c>
      <c r="M498" t="b">
        <v>0</v>
      </c>
      <c r="N498" t="inlineStr">
        <is>
          <t>alt</t>
        </is>
      </c>
      <c r="O498" t="n">
        <v>30</v>
      </c>
      <c r="P498" t="n">
        <v>0.001854</v>
      </c>
      <c r="Q498" t="n">
        <v>35</v>
      </c>
      <c r="R498" t="n">
        <v>0.0669</v>
      </c>
      <c r="S498">
        <f>IMAGE("https://mitra.stanford.edu/kundaje/oak/projects/neuro-variants/variant_position/credible/roussos_2024/variant_figures/roussos_2024.childhood.GLU/rs11030297_count_position.png",4,220,900)</f>
        <v/>
      </c>
      <c r="T498">
        <f>IMAGE("https://mitra.stanford.edu/kundaje/oak/projects/neuro-variants/variant_position/credible/roussos_2024/variant_figures/roussos_2024.childhood.GLU/rs11030297_profile_position.png",4,220,900)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-0.0417430919999999</v>
      </c>
      <c r="G499" t="n">
        <v>0.2309665612204556</v>
      </c>
      <c r="H499" t="n">
        <v>0.0110571526671433</v>
      </c>
      <c r="I499" t="n">
        <v>0.5397563156722338</v>
      </c>
      <c r="J499" t="n">
        <v>0.1357711683682404</v>
      </c>
      <c r="K499" t="n">
        <v>0.2055101134759741</v>
      </c>
      <c r="L499" t="b">
        <v>0</v>
      </c>
      <c r="M499" t="b">
        <v>0</v>
      </c>
      <c r="N499" t="inlineStr">
        <is>
          <t>ref</t>
        </is>
      </c>
      <c r="O499" t="n">
        <v>85</v>
      </c>
      <c r="P499" t="n">
        <v>0.001694</v>
      </c>
      <c r="Q499" t="n">
        <v>-35</v>
      </c>
      <c r="R499" t="n">
        <v>0.009766</v>
      </c>
      <c r="S499">
        <f>IMAGE("https://mitra.stanford.edu/kundaje/oak/projects/neuro-variants/variant_position/credible/roussos_2024/variant_figures/roussos_2024.childhood.GLU/rs7124325_count_position.png",4,220,900)</f>
        <v/>
      </c>
      <c r="T499">
        <f>IMAGE("https://mitra.stanford.edu/kundaje/oak/projects/neuro-variants/variant_position/credible/roussos_2024/variant_figures/roussos_2024.childhood.GLU/rs7124325_profile_position.png",4,220,900)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0.113830217</v>
      </c>
      <c r="G500" t="n">
        <v>0.0403167157450733</v>
      </c>
      <c r="H500" t="n">
        <v>0.0282204213616733</v>
      </c>
      <c r="I500" t="n">
        <v>0.0288137074529776</v>
      </c>
      <c r="J500" t="n">
        <v>9.168924557262206e-05</v>
      </c>
      <c r="K500" t="n">
        <v>0.9547923939346676</v>
      </c>
      <c r="L500" t="b">
        <v>0</v>
      </c>
      <c r="M500" t="b">
        <v>0</v>
      </c>
      <c r="N500" t="inlineStr">
        <is>
          <t>alt</t>
        </is>
      </c>
      <c r="O500" t="n">
        <v>-75</v>
      </c>
      <c r="P500" t="n">
        <v>0.008330000000000001</v>
      </c>
      <c r="Q500" t="n">
        <v>-65</v>
      </c>
      <c r="R500" t="n">
        <v>0.1298</v>
      </c>
      <c r="S500">
        <f>IMAGE("https://mitra.stanford.edu/kundaje/oak/projects/neuro-variants/variant_position/credible/roussos_2024/variant_figures/roussos_2024.childhood.GLU/rs11030309_count_position.png",4,220,900)</f>
        <v/>
      </c>
      <c r="T500">
        <f>IMAGE("https://mitra.stanford.edu/kundaje/oak/projects/neuro-variants/variant_position/credible/roussos_2024/variant_figures/roussos_2024.childhood.GLU/rs11030309_profile_position.png",4,220,900)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0.0444867176</v>
      </c>
      <c r="G501" t="n">
        <v>0.205228725189514</v>
      </c>
      <c r="H501" t="n">
        <v>0.0105375907360981</v>
      </c>
      <c r="I501" t="n">
        <v>0.5766666948566095</v>
      </c>
      <c r="J501" t="n">
        <v>0.0048471674204415</v>
      </c>
      <c r="K501" t="n">
        <v>0.6831770203642396</v>
      </c>
      <c r="L501" t="b">
        <v>0</v>
      </c>
      <c r="M501" t="b">
        <v>0</v>
      </c>
      <c r="N501" t="inlineStr">
        <is>
          <t>alt</t>
        </is>
      </c>
      <c r="O501" t="n">
        <v>-20</v>
      </c>
      <c r="P501" t="n">
        <v>0.00169</v>
      </c>
      <c r="Q501" t="n">
        <v>-55</v>
      </c>
      <c r="R501" t="n">
        <v>0.09155000000000001</v>
      </c>
      <c r="S501">
        <f>IMAGE("https://mitra.stanford.edu/kundaje/oak/projects/neuro-variants/variant_position/credible/roussos_2024/variant_figures/roussos_2024.childhood.GLU/rs10835321_count_position.png",4,220,900)</f>
        <v/>
      </c>
      <c r="T501">
        <f>IMAGE("https://mitra.stanford.edu/kundaje/oak/projects/neuro-variants/variant_position/credible/roussos_2024/variant_figures/roussos_2024.childhood.GLU/rs10835321_profile_position.png",4,220,900)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-0.00720126434</v>
      </c>
      <c r="G502" t="n">
        <v>0.6842817837510603</v>
      </c>
      <c r="H502" t="n">
        <v>0.0269188471808719</v>
      </c>
      <c r="I502" t="n">
        <v>0.0323430617469707</v>
      </c>
      <c r="J502" t="n">
        <v>0.0025631780110644</v>
      </c>
      <c r="K502" t="n">
        <v>0.7466088119104985</v>
      </c>
      <c r="L502" t="b">
        <v>0</v>
      </c>
      <c r="M502" t="b">
        <v>0</v>
      </c>
      <c r="N502" t="inlineStr">
        <is>
          <t>ref</t>
        </is>
      </c>
      <c r="O502" t="n">
        <v>65</v>
      </c>
      <c r="P502" t="n">
        <v>0.001663</v>
      </c>
      <c r="Q502" t="n">
        <v>5</v>
      </c>
      <c r="R502" t="n">
        <v>0.0003433</v>
      </c>
      <c r="S502">
        <f>IMAGE("https://mitra.stanford.edu/kundaje/oak/projects/neuro-variants/variant_position/credible/roussos_2024/variant_figures/roussos_2024.childhood.GLU/rs4923535_count_position.png",4,220,900)</f>
        <v/>
      </c>
      <c r="T502">
        <f>IMAGE("https://mitra.stanford.edu/kundaje/oak/projects/neuro-variants/variant_position/credible/roussos_2024/variant_figures/roussos_2024.childhood.GLU/rs4923535_profile_position.png",4,220,900)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-0.008263350900000001</v>
      </c>
      <c r="G503" t="n">
        <v>0.6298530388107438</v>
      </c>
      <c r="H503" t="n">
        <v>0.0229412408560929</v>
      </c>
      <c r="I503" t="n">
        <v>0.0603300767955323</v>
      </c>
      <c r="J503" t="n">
        <v>0.0002111943296897</v>
      </c>
      <c r="K503" t="n">
        <v>0.9146193594626186</v>
      </c>
      <c r="L503" t="b">
        <v>0</v>
      </c>
      <c r="M503" t="b">
        <v>0</v>
      </c>
      <c r="N503" t="inlineStr">
        <is>
          <t>ref</t>
        </is>
      </c>
      <c r="O503" t="n">
        <v>80</v>
      </c>
      <c r="P503" t="n">
        <v>0.001732</v>
      </c>
      <c r="Q503" t="n">
        <v>30</v>
      </c>
      <c r="R503" t="n">
        <v>0.03134</v>
      </c>
      <c r="S503">
        <f>IMAGE("https://mitra.stanford.edu/kundaje/oak/projects/neuro-variants/variant_position/credible/roussos_2024/variant_figures/roussos_2024.childhood.GLU/rs11030323_count_position.png",4,220,900)</f>
        <v/>
      </c>
      <c r="T503">
        <f>IMAGE("https://mitra.stanford.edu/kundaje/oak/projects/neuro-variants/variant_position/credible/roussos_2024/variant_figures/roussos_2024.childhood.GLU/rs11030323_profile_position.png",4,220,900)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-0.1247980612</v>
      </c>
      <c r="G504" t="n">
        <v>0.0281517629134911</v>
      </c>
      <c r="H504" t="n">
        <v>0.0211222694582432</v>
      </c>
      <c r="I504" t="n">
        <v>0.08282054680028481</v>
      </c>
      <c r="J504" t="n">
        <v>0.0657896092389792</v>
      </c>
      <c r="K504" t="n">
        <v>0.3138916651539913</v>
      </c>
      <c r="L504" t="b">
        <v>0</v>
      </c>
      <c r="M504" t="b">
        <v>0</v>
      </c>
      <c r="N504" t="inlineStr">
        <is>
          <t>ref</t>
        </is>
      </c>
      <c r="O504" t="n">
        <v>65</v>
      </c>
      <c r="P504" t="n">
        <v>0.01009</v>
      </c>
      <c r="Q504" t="n">
        <v>100</v>
      </c>
      <c r="R504" t="n">
        <v>0.2081</v>
      </c>
      <c r="S504">
        <f>IMAGE("https://mitra.stanford.edu/kundaje/oak/projects/neuro-variants/variant_position/credible/roussos_2024/variant_figures/roussos_2024.childhood.GLU/rs7931626_count_position.png",4,220,900)</f>
        <v/>
      </c>
      <c r="T504">
        <f>IMAGE("https://mitra.stanford.edu/kundaje/oak/projects/neuro-variants/variant_position/credible/roussos_2024/variant_figures/roussos_2024.childhood.GLU/rs7931626_profile_position.png",4,220,900)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0.0312154156</v>
      </c>
      <c r="G505" t="n">
        <v>0.3098243687623987</v>
      </c>
      <c r="H505" t="n">
        <v>0.0176702049694192</v>
      </c>
      <c r="I505" t="n">
        <v>0.1477801327137361</v>
      </c>
      <c r="J505" t="n">
        <v>0.0070034100157622</v>
      </c>
      <c r="K505" t="n">
        <v>0.6426572823539531</v>
      </c>
      <c r="L505" t="b">
        <v>0</v>
      </c>
      <c r="M505" t="b">
        <v>0</v>
      </c>
      <c r="N505" t="inlineStr">
        <is>
          <t>alt</t>
        </is>
      </c>
      <c r="O505" t="n">
        <v>-70</v>
      </c>
      <c r="P505" t="n">
        <v>0.01427</v>
      </c>
      <c r="Q505" t="n">
        <v>-70</v>
      </c>
      <c r="R505" t="n">
        <v>0.1584</v>
      </c>
      <c r="S505">
        <f>IMAGE("https://mitra.stanford.edu/kundaje/oak/projects/neuro-variants/variant_position/credible/roussos_2024/variant_figures/roussos_2024.childhood.GLU/rs11030324_count_position.png",4,220,900)</f>
        <v/>
      </c>
      <c r="T505">
        <f>IMAGE("https://mitra.stanford.edu/kundaje/oak/projects/neuro-variants/variant_position/credible/roussos_2024/variant_figures/roussos_2024.childhood.GLU/rs11030324_profile_position.png",4,220,900)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0.0710736972399999</v>
      </c>
      <c r="G506" t="n">
        <v>0.103349412526584</v>
      </c>
      <c r="H506" t="n">
        <v>0.0214978575440733</v>
      </c>
      <c r="I506" t="n">
        <v>0.07937197717015</v>
      </c>
      <c r="J506" t="n">
        <v>0.0396674461969567</v>
      </c>
      <c r="K506" t="n">
        <v>0.3844204591367933</v>
      </c>
      <c r="L506" t="b">
        <v>0</v>
      </c>
      <c r="M506" t="b">
        <v>0</v>
      </c>
      <c r="N506" t="inlineStr">
        <is>
          <t>alt</t>
        </is>
      </c>
      <c r="O506" t="n">
        <v>-100</v>
      </c>
      <c r="P506" t="n">
        <v>0.006683</v>
      </c>
      <c r="Q506" t="n">
        <v>-100</v>
      </c>
      <c r="R506" t="n">
        <v>0.04797</v>
      </c>
      <c r="S506">
        <f>IMAGE("https://mitra.stanford.edu/kundaje/oak/projects/neuro-variants/variant_position/credible/roussos_2024/variant_figures/roussos_2024.childhood.GLU/rs11030331_count_position.png",4,220,900)</f>
        <v/>
      </c>
      <c r="T506">
        <f>IMAGE("https://mitra.stanford.edu/kundaje/oak/projects/neuro-variants/variant_position/credible/roussos_2024/variant_figures/roussos_2024.childhood.GLU/rs11030331_profile_position.png",4,220,900)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-0.0247048572</v>
      </c>
      <c r="G507" t="n">
        <v>0.4131885320607278</v>
      </c>
      <c r="H507" t="n">
        <v>0.009462723208876801</v>
      </c>
      <c r="I507" t="n">
        <v>0.7186569593321921</v>
      </c>
      <c r="J507" t="n">
        <v>0.0077091081417988</v>
      </c>
      <c r="K507" t="n">
        <v>0.6371876517069365</v>
      </c>
      <c r="L507" t="b">
        <v>0</v>
      </c>
      <c r="M507" t="b">
        <v>0</v>
      </c>
      <c r="N507" t="inlineStr">
        <is>
          <t>ref</t>
        </is>
      </c>
      <c r="O507" t="n">
        <v>50</v>
      </c>
      <c r="P507" t="n">
        <v>0.00526</v>
      </c>
      <c r="Q507" t="n">
        <v>45</v>
      </c>
      <c r="R507" t="n">
        <v>0.1012</v>
      </c>
      <c r="S507">
        <f>IMAGE("https://mitra.stanford.edu/kundaje/oak/projects/neuro-variants/variant_position/credible/roussos_2024/variant_figures/roussos_2024.childhood.GLU/rs4543974_count_position.png",4,220,900)</f>
        <v/>
      </c>
      <c r="T507">
        <f>IMAGE("https://mitra.stanford.edu/kundaje/oak/projects/neuro-variants/variant_position/credible/roussos_2024/variant_figures/roussos_2024.childhood.GLU/rs4543974_profile_position.png",4,220,900)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-0.101805882</v>
      </c>
      <c r="G508" t="n">
        <v>0.0439244237298827</v>
      </c>
      <c r="H508" t="n">
        <v>0.0161494821420783</v>
      </c>
      <c r="I508" t="n">
        <v>0.1965631622262136</v>
      </c>
      <c r="J508" t="n">
        <v>0.0033409912740683</v>
      </c>
      <c r="K508" t="n">
        <v>0.715919783905152</v>
      </c>
      <c r="L508" t="b">
        <v>0</v>
      </c>
      <c r="M508" t="b">
        <v>0</v>
      </c>
      <c r="N508" t="inlineStr">
        <is>
          <t>ref</t>
        </is>
      </c>
      <c r="O508" t="n">
        <v>95</v>
      </c>
      <c r="P508" t="n">
        <v>0.00717</v>
      </c>
      <c r="Q508" t="n">
        <v>95</v>
      </c>
      <c r="R508" t="n">
        <v>0.09760000000000001</v>
      </c>
      <c r="S508">
        <f>IMAGE("https://mitra.stanford.edu/kundaje/oak/projects/neuro-variants/variant_position/credible/roussos_2024/variant_figures/roussos_2024.childhood.GLU/rs10767724_count_position.png",4,220,900)</f>
        <v/>
      </c>
      <c r="T508">
        <f>IMAGE("https://mitra.stanford.edu/kundaje/oak/projects/neuro-variants/variant_position/credible/roussos_2024/variant_figures/roussos_2024.childhood.GLU/rs10767724_profile_position.png",4,220,900)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0.07593750439999999</v>
      </c>
      <c r="G509" t="n">
        <v>0.08943373334030991</v>
      </c>
      <c r="H509" t="n">
        <v>0.0201943799310689</v>
      </c>
      <c r="I509" t="n">
        <v>0.0975870683259782</v>
      </c>
      <c r="J509" t="n">
        <v>0.0258223701154872</v>
      </c>
      <c r="K509" t="n">
        <v>0.4495751345966224</v>
      </c>
      <c r="L509" t="b">
        <v>0</v>
      </c>
      <c r="M509" t="b">
        <v>0</v>
      </c>
      <c r="N509" t="inlineStr">
        <is>
          <t>alt</t>
        </is>
      </c>
      <c r="O509" t="n">
        <v>-75</v>
      </c>
      <c r="P509" t="n">
        <v>0.05295</v>
      </c>
      <c r="Q509" t="n">
        <v>-50</v>
      </c>
      <c r="R509" t="n">
        <v>0.1223</v>
      </c>
      <c r="S509">
        <f>IMAGE("https://mitra.stanford.edu/kundaje/oak/projects/neuro-variants/variant_position/credible/roussos_2024/variant_figures/roussos_2024.childhood.GLU/rs10835338_count_position.png",4,220,900)</f>
        <v/>
      </c>
      <c r="T509">
        <f>IMAGE("https://mitra.stanford.edu/kundaje/oak/projects/neuro-variants/variant_position/credible/roussos_2024/variant_figures/roussos_2024.childhood.GLU/rs10835338_profile_position.png",4,220,900)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-0.053708963</v>
      </c>
      <c r="G510" t="n">
        <v>0.1713470983714297</v>
      </c>
      <c r="H510" t="n">
        <v>0.013322204749363</v>
      </c>
      <c r="I510" t="n">
        <v>0.3490381380614736</v>
      </c>
      <c r="J510" t="n">
        <v>0.0127262612422346</v>
      </c>
      <c r="K510" t="n">
        <v>0.5579290355519317</v>
      </c>
      <c r="L510" t="b">
        <v>0</v>
      </c>
      <c r="M510" t="b">
        <v>0</v>
      </c>
      <c r="N510" t="inlineStr">
        <is>
          <t>ref</t>
        </is>
      </c>
      <c r="O510" t="n">
        <v>5</v>
      </c>
      <c r="P510" t="n">
        <v>0.000742</v>
      </c>
      <c r="Q510" t="n">
        <v>20</v>
      </c>
      <c r="R510" t="n">
        <v>0.05853</v>
      </c>
      <c r="S510">
        <f>IMAGE("https://mitra.stanford.edu/kundaje/oak/projects/neuro-variants/variant_position/credible/roussos_2024/variant_figures/roussos_2024.childhood.GLU/rs10767725_count_position.png",4,220,900)</f>
        <v/>
      </c>
      <c r="T510">
        <f>IMAGE("https://mitra.stanford.edu/kundaje/oak/projects/neuro-variants/variant_position/credible/roussos_2024/variant_figures/roussos_2024.childhood.GLU/rs10767725_profile_position.png",4,220,900)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-0.19425198</v>
      </c>
      <c r="G511" t="n">
        <v>0.008221979291086</v>
      </c>
      <c r="H511" t="n">
        <v>0.0184961168865169</v>
      </c>
      <c r="I511" t="n">
        <v>0.1279616243269034</v>
      </c>
      <c r="J511" t="n">
        <v>0.0614565197234899</v>
      </c>
      <c r="K511" t="n">
        <v>0.3230618380872119</v>
      </c>
      <c r="L511" t="b">
        <v>1</v>
      </c>
      <c r="M511" t="b">
        <v>1</v>
      </c>
      <c r="N511" t="inlineStr">
        <is>
          <t>ref</t>
        </is>
      </c>
      <c r="O511" t="n">
        <v>-100</v>
      </c>
      <c r="P511" t="n">
        <v>0.04388</v>
      </c>
      <c r="Q511" t="n">
        <v>-50</v>
      </c>
      <c r="R511" t="n">
        <v>0.05896</v>
      </c>
      <c r="S511">
        <f>IMAGE("https://mitra.stanford.edu/kundaje/oak/projects/neuro-variants/variant_position/credible/roussos_2024/variant_figures/roussos_2024.childhood.GLU/rs11030341_count_position.png",4,220,900)</f>
        <v/>
      </c>
      <c r="T511">
        <f>IMAGE("https://mitra.stanford.edu/kundaje/oak/projects/neuro-variants/variant_position/credible/roussos_2024/variant_figures/roussos_2024.childhood.GLU/rs11030341_profile_position.png",4,220,900)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-0.00620463569</v>
      </c>
      <c r="G512" t="n">
        <v>0.7566364188761471</v>
      </c>
      <c r="H512" t="n">
        <v>0.0229851120927259</v>
      </c>
      <c r="I512" t="n">
        <v>0.0595046935731055</v>
      </c>
      <c r="J512" t="n">
        <v>0.0406152451399548</v>
      </c>
      <c r="K512" t="n">
        <v>0.385741322932086</v>
      </c>
      <c r="L512" t="b">
        <v>0</v>
      </c>
      <c r="M512" t="b">
        <v>0</v>
      </c>
      <c r="N512" t="inlineStr">
        <is>
          <t>ref</t>
        </is>
      </c>
      <c r="O512" t="n">
        <v>70</v>
      </c>
      <c r="P512" t="n">
        <v>0.02809</v>
      </c>
      <c r="Q512" t="n">
        <v>90</v>
      </c>
      <c r="R512" t="n">
        <v>0.01378</v>
      </c>
      <c r="S512">
        <f>IMAGE("https://mitra.stanford.edu/kundaje/oak/projects/neuro-variants/variant_position/credible/roussos_2024/variant_figures/roussos_2024.childhood.GLU/rs7130732_count_position.png",4,220,900)</f>
        <v/>
      </c>
      <c r="T512">
        <f>IMAGE("https://mitra.stanford.edu/kundaje/oak/projects/neuro-variants/variant_position/credible/roussos_2024/variant_figures/roussos_2024.childhood.GLU/rs7130732_profile_position.png",4,220,900)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-0.008283523299999899</v>
      </c>
      <c r="G513" t="n">
        <v>0.427825922575537</v>
      </c>
      <c r="H513" t="n">
        <v>0.0115136840085981</v>
      </c>
      <c r="I513" t="n">
        <v>0.5014304824233599</v>
      </c>
      <c r="J513" t="n">
        <v>0.0194649056837029</v>
      </c>
      <c r="K513" t="n">
        <v>0.5022446332922288</v>
      </c>
      <c r="L513" t="b">
        <v>0</v>
      </c>
      <c r="M513" t="b">
        <v>0</v>
      </c>
      <c r="N513" t="inlineStr">
        <is>
          <t>ref</t>
        </is>
      </c>
      <c r="O513" t="n">
        <v>-55</v>
      </c>
      <c r="P513" t="n">
        <v>0.02237</v>
      </c>
      <c r="Q513" t="n">
        <v>-80</v>
      </c>
      <c r="R513" t="n">
        <v>0.2593</v>
      </c>
      <c r="S513">
        <f>IMAGE("https://mitra.stanford.edu/kundaje/oak/projects/neuro-variants/variant_position/credible/roussos_2024/variant_figures/roussos_2024.childhood.GLU/rs7105555_count_position.png",4,220,900)</f>
        <v/>
      </c>
      <c r="T513">
        <f>IMAGE("https://mitra.stanford.edu/kundaje/oak/projects/neuro-variants/variant_position/credible/roussos_2024/variant_figures/roussos_2024.childhood.GLU/rs7105555_profile_position.png",4,220,900)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-0.1342856988</v>
      </c>
      <c r="G514" t="n">
        <v>0.0247205813652047</v>
      </c>
      <c r="H514" t="n">
        <v>0.0165136168697956</v>
      </c>
      <c r="I514" t="n">
        <v>0.1844431589104821</v>
      </c>
      <c r="J514" t="n">
        <v>0.0042990923794903</v>
      </c>
      <c r="K514" t="n">
        <v>0.6998367856449812</v>
      </c>
      <c r="L514" t="b">
        <v>0</v>
      </c>
      <c r="M514" t="b">
        <v>0</v>
      </c>
      <c r="N514" t="inlineStr">
        <is>
          <t>ref</t>
        </is>
      </c>
      <c r="O514" t="n">
        <v>60</v>
      </c>
      <c r="P514" t="n">
        <v>0.001472</v>
      </c>
      <c r="Q514" t="n">
        <v>-100</v>
      </c>
      <c r="R514" t="n">
        <v>0.04785</v>
      </c>
      <c r="S514">
        <f>IMAGE("https://mitra.stanford.edu/kundaje/oak/projects/neuro-variants/variant_position/credible/roussos_2024/variant_figures/roussos_2024.childhood.GLU/rs11603115_count_position.png",4,220,900)</f>
        <v/>
      </c>
      <c r="T514">
        <f>IMAGE("https://mitra.stanford.edu/kundaje/oak/projects/neuro-variants/variant_position/credible/roussos_2024/variant_figures/roussos_2024.childhood.GLU/rs11603115_profile_position.png",4,220,900)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-0.0343025138</v>
      </c>
      <c r="G515" t="n">
        <v>0.2946949167827719</v>
      </c>
      <c r="H515" t="n">
        <v>0.013367509941069</v>
      </c>
      <c r="I515" t="n">
        <v>0.3474822584852242</v>
      </c>
      <c r="J515" t="n">
        <v>0.0021923001638043</v>
      </c>
      <c r="K515" t="n">
        <v>0.7621318273781235</v>
      </c>
      <c r="L515" t="b">
        <v>0</v>
      </c>
      <c r="M515" t="b">
        <v>0</v>
      </c>
      <c r="N515" t="inlineStr">
        <is>
          <t>ref</t>
        </is>
      </c>
      <c r="O515" t="n">
        <v>-75</v>
      </c>
      <c r="P515" t="n">
        <v>0.006386</v>
      </c>
      <c r="Q515" t="n">
        <v>30</v>
      </c>
      <c r="R515" t="n">
        <v>0.09314</v>
      </c>
      <c r="S515">
        <f>IMAGE("https://mitra.stanford.edu/kundaje/oak/projects/neuro-variants/variant_position/credible/roussos_2024/variant_figures/roussos_2024.childhood.GLU/rs1811450_count_position.png",4,220,900)</f>
        <v/>
      </c>
      <c r="T515">
        <f>IMAGE("https://mitra.stanford.edu/kundaje/oak/projects/neuro-variants/variant_position/credible/roussos_2024/variant_figures/roussos_2024.childhood.GLU/rs1811450_profile_position.png",4,220,900)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-0.08576549</v>
      </c>
      <c r="G516" t="n">
        <v>0.0668013725204854</v>
      </c>
      <c r="H516" t="n">
        <v>0.0109834379346426</v>
      </c>
      <c r="I516" t="n">
        <v>0.5168409795132034</v>
      </c>
      <c r="J516" t="n">
        <v>0.1577662851432515</v>
      </c>
      <c r="K516" t="n">
        <v>0.1842273171780318</v>
      </c>
      <c r="L516" t="b">
        <v>0</v>
      </c>
      <c r="M516" t="b">
        <v>0</v>
      </c>
      <c r="N516" t="inlineStr">
        <is>
          <t>ref</t>
        </is>
      </c>
      <c r="O516" t="n">
        <v>-100</v>
      </c>
      <c r="P516" t="n">
        <v>0.0779</v>
      </c>
      <c r="Q516" t="n">
        <v>80</v>
      </c>
      <c r="R516" t="n">
        <v>0.0415</v>
      </c>
      <c r="S516">
        <f>IMAGE("https://mitra.stanford.edu/kundaje/oak/projects/neuro-variants/variant_position/credible/roussos_2024/variant_figures/roussos_2024.childhood.GLU/rs2582905_count_position.png",4,220,900)</f>
        <v/>
      </c>
      <c r="T516">
        <f>IMAGE("https://mitra.stanford.edu/kundaje/oak/projects/neuro-variants/variant_position/credible/roussos_2024/variant_figures/roussos_2024.childhood.GLU/rs2582905_profile_position.png",4,220,900)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0.00176645638</v>
      </c>
      <c r="G517" t="n">
        <v>0.8439756129569527</v>
      </c>
      <c r="H517" t="n">
        <v>0.0319230087500699</v>
      </c>
      <c r="I517" t="n">
        <v>0.0164065173417627</v>
      </c>
      <c r="J517" t="n">
        <v>0.002665169419061</v>
      </c>
      <c r="K517" t="n">
        <v>0.7472555262902367</v>
      </c>
      <c r="L517" t="b">
        <v>0</v>
      </c>
      <c r="M517" t="b">
        <v>0</v>
      </c>
      <c r="N517" t="inlineStr">
        <is>
          <t>alt</t>
        </is>
      </c>
      <c r="O517" t="n">
        <v>60</v>
      </c>
      <c r="P517" t="n">
        <v>0.0095</v>
      </c>
      <c r="Q517" t="n">
        <v>100</v>
      </c>
      <c r="R517" t="n">
        <v>0.07290000000000001</v>
      </c>
      <c r="S517">
        <f>IMAGE("https://mitra.stanford.edu/kundaje/oak/projects/neuro-variants/variant_position/credible/roussos_2024/variant_figures/roussos_2024.childhood.GLU/rs2582895_count_position.png",4,220,900)</f>
        <v/>
      </c>
      <c r="T517">
        <f>IMAGE("https://mitra.stanford.edu/kundaje/oak/projects/neuro-variants/variant_position/credible/roussos_2024/variant_figures/roussos_2024.childhood.GLU/rs2582895_profile_position.png",4,220,900)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0.0608430212</v>
      </c>
      <c r="G518" t="n">
        <v>0.1303250933560105</v>
      </c>
      <c r="H518" t="n">
        <v>0.0271026027182382</v>
      </c>
      <c r="I518" t="n">
        <v>0.0334468841311261</v>
      </c>
      <c r="J518" t="n">
        <v>0.0038406461516271</v>
      </c>
      <c r="K518" t="n">
        <v>0.706192258922379</v>
      </c>
      <c r="L518" t="b">
        <v>0</v>
      </c>
      <c r="M518" t="b">
        <v>0</v>
      </c>
      <c r="N518" t="inlineStr">
        <is>
          <t>alt</t>
        </is>
      </c>
      <c r="O518" t="n">
        <v>15</v>
      </c>
      <c r="P518" t="n">
        <v>0.000389</v>
      </c>
      <c r="Q518" t="n">
        <v>65</v>
      </c>
      <c r="R518" t="n">
        <v>0.04822</v>
      </c>
      <c r="S518">
        <f>IMAGE("https://mitra.stanford.edu/kundaje/oak/projects/neuro-variants/variant_position/credible/roussos_2024/variant_figures/roussos_2024.childhood.GLU/rs2585817_count_position.png",4,220,900)</f>
        <v/>
      </c>
      <c r="T518">
        <f>IMAGE("https://mitra.stanford.edu/kundaje/oak/projects/neuro-variants/variant_position/credible/roussos_2024/variant_figures/roussos_2024.childhood.GLU/rs2585817_profile_position.png",4,220,900)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-0.07974582819999999</v>
      </c>
      <c r="G519" t="n">
        <v>0.08027293787188131</v>
      </c>
      <c r="H519" t="n">
        <v>0.0310256973607419</v>
      </c>
      <c r="I519" t="n">
        <v>0.0191111051051801</v>
      </c>
      <c r="J519" t="n">
        <v>0.0466255266980538</v>
      </c>
      <c r="K519" t="n">
        <v>0.3658509171607719</v>
      </c>
      <c r="L519" t="b">
        <v>1</v>
      </c>
      <c r="M519" t="b">
        <v>0</v>
      </c>
      <c r="N519" t="inlineStr">
        <is>
          <t>ref</t>
        </is>
      </c>
      <c r="O519" t="n">
        <v>50</v>
      </c>
      <c r="P519" t="n">
        <v>0.005646</v>
      </c>
      <c r="Q519" t="n">
        <v>55</v>
      </c>
      <c r="R519" t="n">
        <v>0.01697</v>
      </c>
      <c r="S519">
        <f>IMAGE("https://mitra.stanford.edu/kundaje/oak/projects/neuro-variants/variant_position/credible/roussos_2024/variant_figures/roussos_2024.childhood.GLU/rs2582896_count_position.png",4,220,900)</f>
        <v/>
      </c>
      <c r="T519">
        <f>IMAGE("https://mitra.stanford.edu/kundaje/oak/projects/neuro-variants/variant_position/credible/roussos_2024/variant_figures/roussos_2024.childhood.GLU/rs2582896_profile_position.png",4,220,900)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0.0235656652</v>
      </c>
      <c r="G520" t="n">
        <v>0.3613907825344966</v>
      </c>
      <c r="H520" t="n">
        <v>0.0105196291612848</v>
      </c>
      <c r="I520" t="n">
        <v>0.5977804698323527</v>
      </c>
      <c r="J520" t="n">
        <v>0.0067221609815899</v>
      </c>
      <c r="K520" t="n">
        <v>0.6350426450061611</v>
      </c>
      <c r="L520" t="b">
        <v>0</v>
      </c>
      <c r="M520" t="b">
        <v>0</v>
      </c>
      <c r="N520" t="inlineStr">
        <is>
          <t>alt</t>
        </is>
      </c>
      <c r="O520" t="n">
        <v>-55</v>
      </c>
      <c r="P520" t="n">
        <v>0.004692</v>
      </c>
      <c r="Q520" t="n">
        <v>-70</v>
      </c>
      <c r="R520" t="n">
        <v>0.0655</v>
      </c>
      <c r="S520">
        <f>IMAGE("https://mitra.stanford.edu/kundaje/oak/projects/neuro-variants/variant_position/credible/roussos_2024/variant_figures/roussos_2024.childhood.GLU/rs10742196_count_position.png",4,220,900)</f>
        <v/>
      </c>
      <c r="T520">
        <f>IMAGE("https://mitra.stanford.edu/kundaje/oak/projects/neuro-variants/variant_position/credible/roussos_2024/variant_figures/roussos_2024.childhood.GLU/rs10742196_profile_position.png",4,220,900)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-0.0518059722</v>
      </c>
      <c r="G521" t="n">
        <v>0.1813148146347648</v>
      </c>
      <c r="H521" t="n">
        <v>0.0178647637258107</v>
      </c>
      <c r="I521" t="n">
        <v>0.1433367113341097</v>
      </c>
      <c r="J521" t="n">
        <v>0.0550341516684351</v>
      </c>
      <c r="K521" t="n">
        <v>0.3338677464298636</v>
      </c>
      <c r="L521" t="b">
        <v>0</v>
      </c>
      <c r="M521" t="b">
        <v>0</v>
      </c>
      <c r="N521" t="inlineStr">
        <is>
          <t>ref</t>
        </is>
      </c>
      <c r="O521" t="n">
        <v>95</v>
      </c>
      <c r="P521" t="n">
        <v>0.006977</v>
      </c>
      <c r="Q521" t="n">
        <v>85</v>
      </c>
      <c r="R521" t="n">
        <v>0.11926</v>
      </c>
      <c r="S521">
        <f>IMAGE("https://mitra.stanford.edu/kundaje/oak/projects/neuro-variants/variant_position/credible/roussos_2024/variant_figures/roussos_2024.childhood.GLU/rs11030386_count_position.png",4,220,900)</f>
        <v/>
      </c>
      <c r="T521">
        <f>IMAGE("https://mitra.stanford.edu/kundaje/oak/projects/neuro-variants/variant_position/credible/roussos_2024/variant_figures/roussos_2024.childhood.GLU/rs11030386_profile_position.png",4,220,900)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-0.117602736</v>
      </c>
      <c r="G522" t="n">
        <v>0.0357836433454983</v>
      </c>
      <c r="H522" t="n">
        <v>0.0245531119874841</v>
      </c>
      <c r="I522" t="n">
        <v>0.049833217980858</v>
      </c>
      <c r="J522" t="n">
        <v>0.0380191002091338</v>
      </c>
      <c r="K522" t="n">
        <v>0.3894780166608806</v>
      </c>
      <c r="L522" t="b">
        <v>0</v>
      </c>
      <c r="M522" t="b">
        <v>0</v>
      </c>
      <c r="N522" t="inlineStr">
        <is>
          <t>ref</t>
        </is>
      </c>
      <c r="O522" t="n">
        <v>0</v>
      </c>
      <c r="P522" t="n">
        <v>0</v>
      </c>
      <c r="Q522" t="n">
        <v>-40</v>
      </c>
      <c r="R522" t="n">
        <v>0.0321</v>
      </c>
      <c r="S522">
        <f>IMAGE("https://mitra.stanford.edu/kundaje/oak/projects/neuro-variants/variant_position/credible/roussos_2024/variant_figures/roussos_2024.childhood.GLU/rs12226518_count_position.png",4,220,900)</f>
        <v/>
      </c>
      <c r="T522">
        <f>IMAGE("https://mitra.stanford.edu/kundaje/oak/projects/neuro-variants/variant_position/credible/roussos_2024/variant_figures/roussos_2024.childhood.GLU/rs12226518_profile_position.png",4,220,900)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0.016420757666</v>
      </c>
      <c r="G523" t="n">
        <v>0.3993806123583449</v>
      </c>
      <c r="H523" t="n">
        <v>0.0123373424678744</v>
      </c>
      <c r="I523" t="n">
        <v>0.430779475144404</v>
      </c>
      <c r="J523" t="n">
        <v>0.0114323096417937</v>
      </c>
      <c r="K523" t="n">
        <v>0.5781100647130625</v>
      </c>
      <c r="L523" t="b">
        <v>0</v>
      </c>
      <c r="M523" t="b">
        <v>0</v>
      </c>
      <c r="N523" t="inlineStr">
        <is>
          <t>alt</t>
        </is>
      </c>
      <c r="O523" t="n">
        <v>-100</v>
      </c>
      <c r="P523" t="n">
        <v>0.002083</v>
      </c>
      <c r="Q523" t="n">
        <v>-70</v>
      </c>
      <c r="R523" t="n">
        <v>0.03406</v>
      </c>
      <c r="S523">
        <f>IMAGE("https://mitra.stanford.edu/kundaje/oak/projects/neuro-variants/variant_position/credible/roussos_2024/variant_figures/roussos_2024.childhood.GLU/rs10767732_count_position.png",4,220,900)</f>
        <v/>
      </c>
      <c r="T523">
        <f>IMAGE("https://mitra.stanford.edu/kundaje/oak/projects/neuro-variants/variant_position/credible/roussos_2024/variant_figures/roussos_2024.childhood.GLU/rs10767732_profile_position.png",4,220,900)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0.0255517274</v>
      </c>
      <c r="G524" t="n">
        <v>0.3780102875729185</v>
      </c>
      <c r="H524" t="n">
        <v>0.0110268347140712</v>
      </c>
      <c r="I524" t="n">
        <v>0.5539522984156723</v>
      </c>
      <c r="J524" t="n">
        <v>0.143744011868091</v>
      </c>
      <c r="K524" t="n">
        <v>0.193353674199721</v>
      </c>
      <c r="L524" t="b">
        <v>0</v>
      </c>
      <c r="M524" t="b">
        <v>0</v>
      </c>
      <c r="N524" t="inlineStr">
        <is>
          <t>alt</t>
        </is>
      </c>
      <c r="O524" t="n">
        <v>100</v>
      </c>
      <c r="P524" t="n">
        <v>0.02248</v>
      </c>
      <c r="Q524" t="n">
        <v>95</v>
      </c>
      <c r="R524" t="n">
        <v>0.3018</v>
      </c>
      <c r="S524">
        <f>IMAGE("https://mitra.stanford.edu/kundaje/oak/projects/neuro-variants/variant_position/credible/roussos_2024/variant_figures/roussos_2024.childhood.GLU/rs10835368_count_position.png",4,220,900)</f>
        <v/>
      </c>
      <c r="T524">
        <f>IMAGE("https://mitra.stanford.edu/kundaje/oak/projects/neuro-variants/variant_position/credible/roussos_2024/variant_figures/roussos_2024.childhood.GLU/rs10835368_profile_position.png",4,220,900)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0.171872723</v>
      </c>
      <c r="G525" t="n">
        <v>0.0129417121299279</v>
      </c>
      <c r="H525" t="n">
        <v>0.0488871163901624</v>
      </c>
      <c r="I525" t="n">
        <v>0.0033943392063124</v>
      </c>
      <c r="J525" t="n">
        <v>0.3640042444909186</v>
      </c>
      <c r="K525" t="n">
        <v>0.074640002811245</v>
      </c>
      <c r="L525" t="b">
        <v>1</v>
      </c>
      <c r="M525" t="b">
        <v>1</v>
      </c>
      <c r="N525" t="inlineStr">
        <is>
          <t>alt</t>
        </is>
      </c>
      <c r="O525" t="n">
        <v>-100</v>
      </c>
      <c r="P525" t="n">
        <v>0.01042</v>
      </c>
      <c r="Q525" t="n">
        <v>75</v>
      </c>
      <c r="R525" t="n">
        <v>0.1624</v>
      </c>
      <c r="S525">
        <f>IMAGE("https://mitra.stanford.edu/kundaje/oak/projects/neuro-variants/variant_position/credible/roussos_2024/variant_figures/roussos_2024.childhood.GLU/rs10835373_count_position.png",4,220,900)</f>
        <v/>
      </c>
      <c r="T525">
        <f>IMAGE("https://mitra.stanford.edu/kundaje/oak/projects/neuro-variants/variant_position/credible/roussos_2024/variant_figures/roussos_2024.childhood.GLU/rs10835373_profile_position.png",4,220,900)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-0.2625699219999999</v>
      </c>
      <c r="G526" t="n">
        <v>0.0033760578191393</v>
      </c>
      <c r="H526" t="n">
        <v>0.0398054352200597</v>
      </c>
      <c r="I526" t="n">
        <v>0.0067258636622953</v>
      </c>
      <c r="J526" t="n">
        <v>0.2128684310836844</v>
      </c>
      <c r="K526" t="n">
        <v>0.1400675425616947</v>
      </c>
      <c r="L526" t="b">
        <v>1</v>
      </c>
      <c r="M526" t="b">
        <v>1</v>
      </c>
      <c r="N526" t="inlineStr">
        <is>
          <t>ref</t>
        </is>
      </c>
      <c r="O526" t="n">
        <v>85</v>
      </c>
      <c r="P526" t="n">
        <v>0.011955</v>
      </c>
      <c r="Q526" t="n">
        <v>-65</v>
      </c>
      <c r="R526" t="n">
        <v>0.0448</v>
      </c>
      <c r="S526">
        <f>IMAGE("https://mitra.stanford.edu/kundaje/oak/projects/neuro-variants/variant_position/credible/roussos_2024/variant_figures/roussos_2024.childhood.GLU/rs11030388_count_position.png",4,220,900)</f>
        <v/>
      </c>
      <c r="T526">
        <f>IMAGE("https://mitra.stanford.edu/kundaje/oak/projects/neuro-variants/variant_position/credible/roussos_2024/variant_figures/roussos_2024.childhood.GLU/rs11030388_profile_position.png",4,220,900)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-0.004181832246</v>
      </c>
      <c r="G527" t="n">
        <v>0.7354978205765157</v>
      </c>
      <c r="H527" t="n">
        <v>0.0127613347312676</v>
      </c>
      <c r="I527" t="n">
        <v>0.3732217002474134</v>
      </c>
      <c r="J527" t="n">
        <v>0.0094264786178618</v>
      </c>
      <c r="K527" t="n">
        <v>0.594391566685642</v>
      </c>
      <c r="L527" t="b">
        <v>0</v>
      </c>
      <c r="M527" t="b">
        <v>0</v>
      </c>
      <c r="N527" t="inlineStr">
        <is>
          <t>ref</t>
        </is>
      </c>
      <c r="O527" t="n">
        <v>-100</v>
      </c>
      <c r="P527" t="n">
        <v>0.005684</v>
      </c>
      <c r="Q527" t="n">
        <v>-55</v>
      </c>
      <c r="R527" t="n">
        <v>0.014305</v>
      </c>
      <c r="S527">
        <f>IMAGE("https://mitra.stanford.edu/kundaje/oak/projects/neuro-variants/variant_position/credible/roussos_2024/variant_figures/roussos_2024.childhood.GLU/rs4576808_count_position.png",4,220,900)</f>
        <v/>
      </c>
      <c r="T527">
        <f>IMAGE("https://mitra.stanford.edu/kundaje/oak/projects/neuro-variants/variant_position/credible/roussos_2024/variant_figures/roussos_2024.childhood.GLU/rs4576808_profile_position.png",4,220,900)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-0.0102627652</v>
      </c>
      <c r="G528" t="n">
        <v>0.6750169101813122</v>
      </c>
      <c r="H528" t="n">
        <v>0.0325302399798761</v>
      </c>
      <c r="I528" t="n">
        <v>0.0154186499462877</v>
      </c>
      <c r="J528" t="n">
        <v>0.0491093780584544</v>
      </c>
      <c r="K528" t="n">
        <v>0.3547725898950962</v>
      </c>
      <c r="L528" t="b">
        <v>1</v>
      </c>
      <c r="M528" t="b">
        <v>0</v>
      </c>
      <c r="N528" t="inlineStr">
        <is>
          <t>ref</t>
        </is>
      </c>
      <c r="O528" t="n">
        <v>35</v>
      </c>
      <c r="P528" t="n">
        <v>0.003311</v>
      </c>
      <c r="Q528" t="n">
        <v>35</v>
      </c>
      <c r="R528" t="n">
        <v>0.0984</v>
      </c>
      <c r="S528">
        <f>IMAGE("https://mitra.stanford.edu/kundaje/oak/projects/neuro-variants/variant_position/credible/roussos_2024/variant_figures/roussos_2024.childhood.GLU/rs4290216_count_position.png",4,220,900)</f>
        <v/>
      </c>
      <c r="T528">
        <f>IMAGE("https://mitra.stanford.edu/kundaje/oak/projects/neuro-variants/variant_position/credible/roussos_2024/variant_figures/roussos_2024.childhood.GLU/rs4290216_profile_position.png",4,220,900)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-0.1051370288</v>
      </c>
      <c r="G529" t="n">
        <v>0.0468844686640997</v>
      </c>
      <c r="H529" t="n">
        <v>0.0174348599598227</v>
      </c>
      <c r="I529" t="n">
        <v>0.1646934841769473</v>
      </c>
      <c r="J529" t="n">
        <v>0.0524874571172488</v>
      </c>
      <c r="K529" t="n">
        <v>0.3410760399471841</v>
      </c>
      <c r="L529" t="b">
        <v>0</v>
      </c>
      <c r="M529" t="b">
        <v>0</v>
      </c>
      <c r="N529" t="inlineStr">
        <is>
          <t>ref</t>
        </is>
      </c>
      <c r="O529" t="n">
        <v>-100</v>
      </c>
      <c r="P529" t="n">
        <v>0.005043</v>
      </c>
      <c r="Q529" t="n">
        <v>-20</v>
      </c>
      <c r="R529" t="n">
        <v>0.06104</v>
      </c>
      <c r="S529">
        <f>IMAGE("https://mitra.stanford.edu/kundaje/oak/projects/neuro-variants/variant_position/credible/roussos_2024/variant_figures/roussos_2024.childhood.GLU/rs7935241_count_position.png",4,220,900)</f>
        <v/>
      </c>
      <c r="T529">
        <f>IMAGE("https://mitra.stanford.edu/kundaje/oak/projects/neuro-variants/variant_position/credible/roussos_2024/variant_figures/roussos_2024.childhood.GLU/rs7935241_profile_position.png",4,220,900)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-0.01987360574</v>
      </c>
      <c r="G530" t="n">
        <v>0.492828704973012</v>
      </c>
      <c r="H530" t="n">
        <v>0.0348149949691819</v>
      </c>
      <c r="I530" t="n">
        <v>0.0115412419419907</v>
      </c>
      <c r="J530" t="n">
        <v>0.0032482718122533</v>
      </c>
      <c r="K530" t="n">
        <v>0.7237485970142002</v>
      </c>
      <c r="L530" t="b">
        <v>0</v>
      </c>
      <c r="M530" t="b">
        <v>0</v>
      </c>
      <c r="N530" t="inlineStr">
        <is>
          <t>ref</t>
        </is>
      </c>
      <c r="O530" t="n">
        <v>70</v>
      </c>
      <c r="P530" t="n">
        <v>0.003696</v>
      </c>
      <c r="Q530" t="n">
        <v>-65</v>
      </c>
      <c r="R530" t="n">
        <v>0.05835</v>
      </c>
      <c r="S530">
        <f>IMAGE("https://mitra.stanford.edu/kundaje/oak/projects/neuro-variants/variant_position/credible/roussos_2024/variant_figures/roussos_2024.childhood.GLU/rs7928893_count_position.png",4,220,900)</f>
        <v/>
      </c>
      <c r="T530">
        <f>IMAGE("https://mitra.stanford.edu/kundaje/oak/projects/neuro-variants/variant_position/credible/roussos_2024/variant_figures/roussos_2024.childhood.GLU/rs7928893_profile_position.png",4,220,900)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-0.0493978972</v>
      </c>
      <c r="G531" t="n">
        <v>0.1861338611444586</v>
      </c>
      <c r="H531" t="n">
        <v>0.0092735392064994</v>
      </c>
      <c r="I531" t="n">
        <v>0.728319323541331</v>
      </c>
      <c r="J531" t="n">
        <v>0.0164937620406522</v>
      </c>
      <c r="K531" t="n">
        <v>0.5175203086278595</v>
      </c>
      <c r="L531" t="b">
        <v>0</v>
      </c>
      <c r="M531" t="b">
        <v>0</v>
      </c>
      <c r="N531" t="inlineStr">
        <is>
          <t>ref</t>
        </is>
      </c>
      <c r="O531" t="n">
        <v>-100</v>
      </c>
      <c r="P531" t="n">
        <v>0.007313</v>
      </c>
      <c r="Q531" t="n">
        <v>-25</v>
      </c>
      <c r="R531" t="n">
        <v>0.05603</v>
      </c>
      <c r="S531">
        <f>IMAGE("https://mitra.stanford.edu/kundaje/oak/projects/neuro-variants/variant_position/credible/roussos_2024/variant_figures/roussos_2024.childhood.GLU/rs7122369_count_position.png",4,220,900)</f>
        <v/>
      </c>
      <c r="T531">
        <f>IMAGE("https://mitra.stanford.edu/kundaje/oak/projects/neuro-variants/variant_position/credible/roussos_2024/variant_figures/roussos_2024.childhood.GLU/rs7122369_profile_position.png",4,220,900)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0.0489136014</v>
      </c>
      <c r="G532" t="n">
        <v>0.1802281657395206</v>
      </c>
      <c r="H532" t="n">
        <v>0.0131329313974284</v>
      </c>
      <c r="I532" t="n">
        <v>0.3631979683782344</v>
      </c>
      <c r="J532" t="n">
        <v>0.0435080923485838</v>
      </c>
      <c r="K532" t="n">
        <v>0.3776004976431871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0.02626</v>
      </c>
      <c r="Q532" t="n">
        <v>-65</v>
      </c>
      <c r="R532" t="n">
        <v>0.08984</v>
      </c>
      <c r="S532">
        <f>IMAGE("https://mitra.stanford.edu/kundaje/oak/projects/neuro-variants/variant_position/credible/roussos_2024/variant_figures/roussos_2024.childhood.GLU/rs11034985_count_position.png",4,220,900)</f>
        <v/>
      </c>
      <c r="T532">
        <f>IMAGE("https://mitra.stanford.edu/kundaje/oak/projects/neuro-variants/variant_position/credible/roussos_2024/variant_figures/roussos_2024.childhood.GLU/rs11034985_profile_position.png",4,220,900)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-0.004590968026</v>
      </c>
      <c r="G533" t="n">
        <v>0.817282391442311</v>
      </c>
      <c r="H533" t="n">
        <v>0.0436531392526077</v>
      </c>
      <c r="I533" t="n">
        <v>0.0046838742843444</v>
      </c>
      <c r="J533" t="n">
        <v>0.07666972297485231</v>
      </c>
      <c r="K533" t="n">
        <v>0.2820173153728583</v>
      </c>
      <c r="L533" t="b">
        <v>1</v>
      </c>
      <c r="M533" t="b">
        <v>1</v>
      </c>
      <c r="N533" t="inlineStr">
        <is>
          <t>ref</t>
        </is>
      </c>
      <c r="O533" t="n">
        <v>100</v>
      </c>
      <c r="P533" t="n">
        <v>0.04898</v>
      </c>
      <c r="Q533" t="n">
        <v>100</v>
      </c>
      <c r="R533" t="n">
        <v>0.10065</v>
      </c>
      <c r="S533">
        <f>IMAGE("https://mitra.stanford.edu/kundaje/oak/projects/neuro-variants/variant_position/credible/roussos_2024/variant_figures/roussos_2024.childhood.GLU/rs10837065_count_position.png",4,220,900)</f>
        <v/>
      </c>
      <c r="T533">
        <f>IMAGE("https://mitra.stanford.edu/kundaje/oak/projects/neuro-variants/variant_position/credible/roussos_2024/variant_figures/roussos_2024.childhood.GLU/rs10837065_profile_position.png",4,220,900)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-0.0791068372</v>
      </c>
      <c r="G534" t="n">
        <v>0.09353987590044439</v>
      </c>
      <c r="H534" t="n">
        <v>0.0153600562665012</v>
      </c>
      <c r="I534" t="n">
        <v>0.2634086450421256</v>
      </c>
      <c r="J534" t="n">
        <v>0.050182863383024</v>
      </c>
      <c r="K534" t="n">
        <v>0.3458476340400934</v>
      </c>
      <c r="L534" t="b">
        <v>0</v>
      </c>
      <c r="M534" t="b">
        <v>0</v>
      </c>
      <c r="N534" t="inlineStr">
        <is>
          <t>ref</t>
        </is>
      </c>
      <c r="O534" t="n">
        <v>-100</v>
      </c>
      <c r="P534" t="n">
        <v>0.04803</v>
      </c>
      <c r="Q534" t="n">
        <v>-25</v>
      </c>
      <c r="R534" t="n">
        <v>0.01917</v>
      </c>
      <c r="S534">
        <f>IMAGE("https://mitra.stanford.edu/kundaje/oak/projects/neuro-variants/variant_position/credible/roussos_2024/variant_figures/roussos_2024.childhood.GLU/rs10837066_count_position.png",4,220,900)</f>
        <v/>
      </c>
      <c r="T534">
        <f>IMAGE("https://mitra.stanford.edu/kundaje/oak/projects/neuro-variants/variant_position/credible/roussos_2024/variant_figures/roussos_2024.childhood.GLU/rs10837066_profile_position.png",4,220,900)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-0.00215011921</v>
      </c>
      <c r="G535" t="n">
        <v>0.8558936443848588</v>
      </c>
      <c r="H535" t="n">
        <v>0.0070830950964191</v>
      </c>
      <c r="I535" t="n">
        <v>0.9259117274538454</v>
      </c>
      <c r="J535" t="n">
        <v>0.0027547982321488</v>
      </c>
      <c r="K535" t="n">
        <v>0.7454942214143193</v>
      </c>
      <c r="L535" t="b">
        <v>0</v>
      </c>
      <c r="M535" t="b">
        <v>0</v>
      </c>
      <c r="N535" t="inlineStr">
        <is>
          <t>ref</t>
        </is>
      </c>
      <c r="O535" t="n">
        <v>45</v>
      </c>
      <c r="P535" t="n">
        <v>0.002113</v>
      </c>
      <c r="Q535" t="n">
        <v>20</v>
      </c>
      <c r="R535" t="n">
        <v>0.09503</v>
      </c>
      <c r="S535">
        <f>IMAGE("https://mitra.stanford.edu/kundaje/oak/projects/neuro-variants/variant_position/credible/roussos_2024/variant_figures/roussos_2024.childhood.GLU/rs12365929_count_position.png",4,220,900)</f>
        <v/>
      </c>
      <c r="T535">
        <f>IMAGE("https://mitra.stanford.edu/kundaje/oak/projects/neuro-variants/variant_position/credible/roussos_2024/variant_figures/roussos_2024.childhood.GLU/rs12365929_profile_position.png",4,220,900)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0.00346436758</v>
      </c>
      <c r="G536" t="n">
        <v>0.7877895411497342</v>
      </c>
      <c r="H536" t="n">
        <v>0.0255851771910926</v>
      </c>
      <c r="I536" t="n">
        <v>0.0407601541808802</v>
      </c>
      <c r="J536" t="n">
        <v>0.1927050387876415</v>
      </c>
      <c r="K536" t="n">
        <v>0.1545604963475712</v>
      </c>
      <c r="L536" t="b">
        <v>0</v>
      </c>
      <c r="M536" t="b">
        <v>0</v>
      </c>
      <c r="N536" t="inlineStr">
        <is>
          <t>alt</t>
        </is>
      </c>
      <c r="O536" t="n">
        <v>-95</v>
      </c>
      <c r="P536" t="n">
        <v>0.06370000000000001</v>
      </c>
      <c r="Q536" t="n">
        <v>100</v>
      </c>
      <c r="R536" t="n">
        <v>0.165</v>
      </c>
      <c r="S536">
        <f>IMAGE("https://mitra.stanford.edu/kundaje/oak/projects/neuro-variants/variant_position/credible/roussos_2024/variant_figures/roussos_2024.childhood.GLU/rs67617610_count_position.png",4,220,900)</f>
        <v/>
      </c>
      <c r="T536">
        <f>IMAGE("https://mitra.stanford.edu/kundaje/oak/projects/neuro-variants/variant_position/credible/roussos_2024/variant_figures/roussos_2024.childhood.GLU/rs67617610_profile_position.png",4,220,900)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-0.0756470224</v>
      </c>
      <c r="G537" t="n">
        <v>0.087300855569886</v>
      </c>
      <c r="H537" t="n">
        <v>0.0127473727255015</v>
      </c>
      <c r="I537" t="n">
        <v>0.3852823762727517</v>
      </c>
      <c r="J537" t="n">
        <v>0.0003739684959872</v>
      </c>
      <c r="K537" t="n">
        <v>0.8911553008275136</v>
      </c>
      <c r="L537" t="b">
        <v>0</v>
      </c>
      <c r="M537" t="b">
        <v>0</v>
      </c>
      <c r="N537" t="inlineStr">
        <is>
          <t>ref</t>
        </is>
      </c>
      <c r="O537" t="n">
        <v>45</v>
      </c>
      <c r="P537" t="n">
        <v>0.0209</v>
      </c>
      <c r="Q537" t="n">
        <v>90</v>
      </c>
      <c r="R537" t="n">
        <v>0.0328</v>
      </c>
      <c r="S537">
        <f>IMAGE("https://mitra.stanford.edu/kundaje/oak/projects/neuro-variants/variant_position/credible/roussos_2024/variant_figures/roussos_2024.childhood.GLU/rs10837072_count_position.png",4,220,900)</f>
        <v/>
      </c>
      <c r="T537">
        <f>IMAGE("https://mitra.stanford.edu/kundaje/oak/projects/neuro-variants/variant_position/credible/roussos_2024/variant_figures/roussos_2024.childhood.GLU/rs10837072_profile_position.png",4,220,900)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0.0139130408</v>
      </c>
      <c r="G538" t="n">
        <v>0.5566940460139351</v>
      </c>
      <c r="H538" t="n">
        <v>0.0268500391355523</v>
      </c>
      <c r="I538" t="n">
        <v>0.0336852898351756</v>
      </c>
      <c r="J538" t="n">
        <v>0.0003708778472601</v>
      </c>
      <c r="K538" t="n">
        <v>0.912865921321952</v>
      </c>
      <c r="L538" t="b">
        <v>0</v>
      </c>
      <c r="M538" t="b">
        <v>0</v>
      </c>
      <c r="N538" t="inlineStr">
        <is>
          <t>alt</t>
        </is>
      </c>
      <c r="O538" t="n">
        <v>35</v>
      </c>
      <c r="P538" t="n">
        <v>0.004944</v>
      </c>
      <c r="Q538" t="n">
        <v>75</v>
      </c>
      <c r="R538" t="n">
        <v>0.02786</v>
      </c>
      <c r="S538">
        <f>IMAGE("https://mitra.stanford.edu/kundaje/oak/projects/neuro-variants/variant_position/credible/roussos_2024/variant_figures/roussos_2024.childhood.GLU/rs12277025_count_position.png",4,220,900)</f>
        <v/>
      </c>
      <c r="T538">
        <f>IMAGE("https://mitra.stanford.edu/kundaje/oak/projects/neuro-variants/variant_position/credible/roussos_2024/variant_figures/roussos_2024.childhood.GLU/rs12277025_profile_position.png",4,220,900)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-0.00438349572</v>
      </c>
      <c r="G539" t="n">
        <v>0.7888513099783794</v>
      </c>
      <c r="H539" t="n">
        <v>0.0270813246952215</v>
      </c>
      <c r="I539" t="n">
        <v>0.0320023725314636</v>
      </c>
      <c r="J539" t="n">
        <v>0.0198059072599338</v>
      </c>
      <c r="K539" t="n">
        <v>0.4905921934304481</v>
      </c>
      <c r="L539" t="b">
        <v>0</v>
      </c>
      <c r="M539" t="b">
        <v>0</v>
      </c>
      <c r="N539" t="inlineStr">
        <is>
          <t>ref</t>
        </is>
      </c>
      <c r="O539" t="n">
        <v>-55</v>
      </c>
      <c r="P539" t="n">
        <v>0.002243</v>
      </c>
      <c r="Q539" t="n">
        <v>100</v>
      </c>
      <c r="R539" t="n">
        <v>0.10645</v>
      </c>
      <c r="S539">
        <f>IMAGE("https://mitra.stanford.edu/kundaje/oak/projects/neuro-variants/variant_position/credible/roussos_2024/variant_figures/roussos_2024.childhood.GLU/rs10837077_count_position.png",4,220,900)</f>
        <v/>
      </c>
      <c r="T539">
        <f>IMAGE("https://mitra.stanford.edu/kundaje/oak/projects/neuro-variants/variant_position/credible/roussos_2024/variant_figures/roussos_2024.childhood.GLU/rs10837077_profile_position.png",4,220,900)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-0.0077955519</v>
      </c>
      <c r="G540" t="n">
        <v>0.7224058130841413</v>
      </c>
      <c r="H540" t="n">
        <v>0.0300755386601407</v>
      </c>
      <c r="I540" t="n">
        <v>0.0208627101635471</v>
      </c>
      <c r="J540" t="n">
        <v>0.0002585842768396</v>
      </c>
      <c r="K540" t="n">
        <v>0.9078141629165444</v>
      </c>
      <c r="L540" t="b">
        <v>0</v>
      </c>
      <c r="M540" t="b">
        <v>0</v>
      </c>
      <c r="N540" t="inlineStr">
        <is>
          <t>ref</t>
        </is>
      </c>
      <c r="O540" t="n">
        <v>50</v>
      </c>
      <c r="P540" t="n">
        <v>0.003738</v>
      </c>
      <c r="Q540" t="n">
        <v>95</v>
      </c>
      <c r="R540" t="n">
        <v>0.06097</v>
      </c>
      <c r="S540">
        <f>IMAGE("https://mitra.stanford.edu/kundaje/oak/projects/neuro-variants/variant_position/credible/roussos_2024/variant_figures/roussos_2024.childhood.GLU/rs10501212_count_position.png",4,220,900)</f>
        <v/>
      </c>
      <c r="T540">
        <f>IMAGE("https://mitra.stanford.edu/kundaje/oak/projects/neuro-variants/variant_position/credible/roussos_2024/variant_figures/roussos_2024.childhood.GLU/rs10501212_profile_position.png",4,220,900)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0.0504643663999999</v>
      </c>
      <c r="G541" t="n">
        <v>0.1694135995907777</v>
      </c>
      <c r="H541" t="n">
        <v>0.0212027681543844</v>
      </c>
      <c r="I541" t="n">
        <v>0.08081028280777119</v>
      </c>
      <c r="J541" t="n">
        <v>0.0563909464596618</v>
      </c>
      <c r="K541" t="n">
        <v>0.3323431371802006</v>
      </c>
      <c r="L541" t="b">
        <v>0</v>
      </c>
      <c r="M541" t="b">
        <v>0</v>
      </c>
      <c r="N541" t="inlineStr">
        <is>
          <t>alt</t>
        </is>
      </c>
      <c r="O541" t="n">
        <v>60</v>
      </c>
      <c r="P541" t="n">
        <v>0.02797</v>
      </c>
      <c r="Q541" t="n">
        <v>100</v>
      </c>
      <c r="R541" t="n">
        <v>0.1992</v>
      </c>
      <c r="S541">
        <f>IMAGE("https://mitra.stanford.edu/kundaje/oak/projects/neuro-variants/variant_position/credible/roussos_2024/variant_figures/roussos_2024.childhood.GLU/rs10837082_count_position.png",4,220,900)</f>
        <v/>
      </c>
      <c r="T541">
        <f>IMAGE("https://mitra.stanford.edu/kundaje/oak/projects/neuro-variants/variant_position/credible/roussos_2024/variant_figures/roussos_2024.childhood.GLU/rs10837082_profile_position.png",4,220,900)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0.0082700098</v>
      </c>
      <c r="G542" t="n">
        <v>0.6805711593771545</v>
      </c>
      <c r="H542" t="n">
        <v>0.0278021258372187</v>
      </c>
      <c r="I542" t="n">
        <v>0.0294457045262001</v>
      </c>
      <c r="J542" t="n">
        <v>0.000148351138904</v>
      </c>
      <c r="K542" t="n">
        <v>0.9260273210484368</v>
      </c>
      <c r="L542" t="b">
        <v>0</v>
      </c>
      <c r="M542" t="b">
        <v>0</v>
      </c>
      <c r="N542" t="inlineStr">
        <is>
          <t>alt</t>
        </is>
      </c>
      <c r="O542" t="n">
        <v>100</v>
      </c>
      <c r="P542" t="n">
        <v>0.11487</v>
      </c>
      <c r="Q542" t="n">
        <v>100</v>
      </c>
      <c r="R542" t="n">
        <v>0.0925</v>
      </c>
      <c r="S542">
        <f>IMAGE("https://mitra.stanford.edu/kundaje/oak/projects/neuro-variants/variant_position/credible/roussos_2024/variant_figures/roussos_2024.childhood.GLU/rs11035025_count_position.png",4,220,900)</f>
        <v/>
      </c>
      <c r="T542">
        <f>IMAGE("https://mitra.stanford.edu/kundaje/oak/projects/neuro-variants/variant_position/credible/roussos_2024/variant_figures/roussos_2024.childhood.GLU/rs11035025_profile_position.png",4,220,900)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0.0822750352</v>
      </c>
      <c r="G543" t="n">
        <v>0.0860890446218513</v>
      </c>
      <c r="H543" t="n">
        <v>0.0240198745820251</v>
      </c>
      <c r="I543" t="n">
        <v>0.0585759724836159</v>
      </c>
      <c r="J543" t="n">
        <v>0.0118423357062647</v>
      </c>
      <c r="K543" t="n">
        <v>0.5660631597068414</v>
      </c>
      <c r="L543" t="b">
        <v>0</v>
      </c>
      <c r="M543" t="b">
        <v>0</v>
      </c>
      <c r="N543" t="inlineStr">
        <is>
          <t>alt</t>
        </is>
      </c>
      <c r="O543" t="n">
        <v>-25</v>
      </c>
      <c r="P543" t="n">
        <v>0.002792</v>
      </c>
      <c r="Q543" t="n">
        <v>-10</v>
      </c>
      <c r="R543" t="n">
        <v>0.01611</v>
      </c>
      <c r="S543">
        <f>IMAGE("https://mitra.stanford.edu/kundaje/oak/projects/neuro-variants/variant_position/credible/roussos_2024/variant_figures/roussos_2024.childhood.GLU/rs7119965_count_position.png",4,220,900)</f>
        <v/>
      </c>
      <c r="T543">
        <f>IMAGE("https://mitra.stanford.edu/kundaje/oak/projects/neuro-variants/variant_position/credible/roussos_2024/variant_figures/roussos_2024.childhood.GLU/rs7119965_profile_position.png",4,220,900)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-0.0823991047999999</v>
      </c>
      <c r="G544" t="n">
        <v>0.078211028956316</v>
      </c>
      <c r="H544" t="n">
        <v>0.0140217937997492</v>
      </c>
      <c r="I544" t="n">
        <v>0.3037066949202742</v>
      </c>
      <c r="J544" t="n">
        <v>0.0081603428559654</v>
      </c>
      <c r="K544" t="n">
        <v>0.6226077321571768</v>
      </c>
      <c r="L544" t="b">
        <v>0</v>
      </c>
      <c r="M544" t="b">
        <v>0</v>
      </c>
      <c r="N544" t="inlineStr">
        <is>
          <t>ref</t>
        </is>
      </c>
      <c r="O544" t="n">
        <v>5</v>
      </c>
      <c r="P544" t="n">
        <v>0.001152</v>
      </c>
      <c r="Q544" t="n">
        <v>50</v>
      </c>
      <c r="R544" t="n">
        <v>0.04175</v>
      </c>
      <c r="S544">
        <f>IMAGE("https://mitra.stanford.edu/kundaje/oak/projects/neuro-variants/variant_position/credible/roussos_2024/variant_figures/roussos_2024.childhood.GLU/rs10768438_count_position.png",4,220,900)</f>
        <v/>
      </c>
      <c r="T544">
        <f>IMAGE("https://mitra.stanford.edu/kundaje/oak/projects/neuro-variants/variant_position/credible/roussos_2024/variant_figures/roussos_2024.childhood.GLU/rs10768438_profile_position.png",4,220,900)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0.0104536673</v>
      </c>
      <c r="G545" t="n">
        <v>0.6338912718682362</v>
      </c>
      <c r="H545" t="n">
        <v>0.0248195332199026</v>
      </c>
      <c r="I545" t="n">
        <v>0.0443592524208595</v>
      </c>
      <c r="J545" t="n">
        <v>0.0048245026631089</v>
      </c>
      <c r="K545" t="n">
        <v>0.6878803724106606</v>
      </c>
      <c r="L545" t="b">
        <v>0</v>
      </c>
      <c r="M545" t="b">
        <v>0</v>
      </c>
      <c r="N545" t="inlineStr">
        <is>
          <t>alt</t>
        </is>
      </c>
      <c r="O545" t="n">
        <v>-55</v>
      </c>
      <c r="P545" t="n">
        <v>0.00528</v>
      </c>
      <c r="Q545" t="n">
        <v>-5</v>
      </c>
      <c r="R545" t="n">
        <v>0.006287</v>
      </c>
      <c r="S545">
        <f>IMAGE("https://mitra.stanford.edu/kundaje/oak/projects/neuro-variants/variant_position/credible/roussos_2024/variant_figures/roussos_2024.childhood.GLU/rs10837090_count_position.png",4,220,900)</f>
        <v/>
      </c>
      <c r="T545">
        <f>IMAGE("https://mitra.stanford.edu/kundaje/oak/projects/neuro-variants/variant_position/credible/roussos_2024/variant_figures/roussos_2024.childhood.GLU/rs10837090_profile_position.png",4,220,900)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-0.0015052904799999</v>
      </c>
      <c r="G546" t="n">
        <v>0.9155780432080812</v>
      </c>
      <c r="H546" t="n">
        <v>0.0286865518422443</v>
      </c>
      <c r="I546" t="n">
        <v>0.0250020106688287</v>
      </c>
      <c r="J546" t="n">
        <v>0.3654661213388689</v>
      </c>
      <c r="K546" t="n">
        <v>0.0741429966717785</v>
      </c>
      <c r="L546" t="b">
        <v>0</v>
      </c>
      <c r="M546" t="b">
        <v>0</v>
      </c>
      <c r="N546" t="inlineStr">
        <is>
          <t>ref</t>
        </is>
      </c>
      <c r="O546" t="n">
        <v>-100</v>
      </c>
      <c r="P546" t="n">
        <v>0.04913</v>
      </c>
      <c r="Q546" t="n">
        <v>100</v>
      </c>
      <c r="R546" t="n">
        <v>0.04785</v>
      </c>
      <c r="S546">
        <f>IMAGE("https://mitra.stanford.edu/kundaje/oak/projects/neuro-variants/variant_position/credible/roussos_2024/variant_figures/roussos_2024.childhood.GLU/rs200720298_count_position.png",4,220,900)</f>
        <v/>
      </c>
      <c r="T546">
        <f>IMAGE("https://mitra.stanford.edu/kundaje/oak/projects/neuro-variants/variant_position/credible/roussos_2024/variant_figures/roussos_2024.childhood.GLU/rs200720298_profile_position.png",4,220,900)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0.0074198456999999</v>
      </c>
      <c r="G547" t="n">
        <v>0.5755915316115605</v>
      </c>
      <c r="H547" t="n">
        <v>0.02882906596474</v>
      </c>
      <c r="I547" t="n">
        <v>0.0248276214582549</v>
      </c>
      <c r="J547" t="n">
        <v>0.6383147722706997</v>
      </c>
      <c r="K547" t="n">
        <v>0.0213676503278223</v>
      </c>
      <c r="L547" t="b">
        <v>0</v>
      </c>
      <c r="M547" t="b">
        <v>0</v>
      </c>
      <c r="N547" t="inlineStr">
        <is>
          <t>alt</t>
        </is>
      </c>
      <c r="O547" t="n">
        <v>-95</v>
      </c>
      <c r="P547" t="n">
        <v>0.00767</v>
      </c>
      <c r="Q547" t="n">
        <v>-95</v>
      </c>
      <c r="R547" t="n">
        <v>0.1271</v>
      </c>
      <c r="S547">
        <f>IMAGE("https://mitra.stanford.edu/kundaje/oak/projects/neuro-variants/variant_position/credible/roussos_2024/variant_figures/roussos_2024.childhood.GLU/rs3740974_count_position.png",4,220,900)</f>
        <v/>
      </c>
      <c r="T547">
        <f>IMAGE("https://mitra.stanford.edu/kundaje/oak/projects/neuro-variants/variant_position/credible/roussos_2024/variant_figures/roussos_2024.childhood.GLU/rs3740974_profile_position.png",4,220,900)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-0.00303787096</v>
      </c>
      <c r="G548" t="n">
        <v>0.8636338069958099</v>
      </c>
      <c r="H548" t="n">
        <v>0.0077615007542966</v>
      </c>
      <c r="I548" t="n">
        <v>0.8955241100237703</v>
      </c>
      <c r="J548" t="n">
        <v>0.0103186458837709</v>
      </c>
      <c r="K548" t="n">
        <v>0.579016369316628</v>
      </c>
      <c r="L548" t="b">
        <v>0</v>
      </c>
      <c r="M548" t="b">
        <v>0</v>
      </c>
      <c r="N548" t="inlineStr">
        <is>
          <t>ref</t>
        </is>
      </c>
      <c r="O548" t="n">
        <v>5</v>
      </c>
      <c r="P548" t="n">
        <v>0.00010586</v>
      </c>
      <c r="Q548" t="n">
        <v>-95</v>
      </c>
      <c r="R548" t="n">
        <v>0.04877</v>
      </c>
      <c r="S548">
        <f>IMAGE("https://mitra.stanford.edu/kundaje/oak/projects/neuro-variants/variant_position/credible/roussos_2024/variant_figures/roussos_2024.childhood.GLU/rs12283172_count_position.png",4,220,900)</f>
        <v/>
      </c>
      <c r="T548">
        <f>IMAGE("https://mitra.stanford.edu/kundaje/oak/projects/neuro-variants/variant_position/credible/roussos_2024/variant_figures/roussos_2024.childhood.GLU/rs12283172_profile_position.png",4,220,900)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-0.055573985</v>
      </c>
      <c r="G549" t="n">
        <v>0.1614111085323893</v>
      </c>
      <c r="H549" t="n">
        <v>0.010173221669444</v>
      </c>
      <c r="I549" t="n">
        <v>0.641680627294333</v>
      </c>
      <c r="J549" t="n">
        <v>0.1023355002214964</v>
      </c>
      <c r="K549" t="n">
        <v>0.2507218438405942</v>
      </c>
      <c r="L549" t="b">
        <v>0</v>
      </c>
      <c r="M549" t="b">
        <v>0</v>
      </c>
      <c r="N549" t="inlineStr">
        <is>
          <t>ref</t>
        </is>
      </c>
      <c r="O549" t="n">
        <v>-100</v>
      </c>
      <c r="P549" t="n">
        <v>0.01746</v>
      </c>
      <c r="Q549" t="n">
        <v>-85</v>
      </c>
      <c r="R549" t="n">
        <v>0.0481</v>
      </c>
      <c r="S549">
        <f>IMAGE("https://mitra.stanford.edu/kundaje/oak/projects/neuro-variants/variant_position/credible/roussos_2024/variant_figures/roussos_2024.childhood.GLU/rs2864076_count_position.png",4,220,900)</f>
        <v/>
      </c>
      <c r="T549">
        <f>IMAGE("https://mitra.stanford.edu/kundaje/oak/projects/neuro-variants/variant_position/credible/roussos_2024/variant_figures/roussos_2024.childhood.GLU/rs2864076_profile_position.png",4,220,900)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0.01113333704</v>
      </c>
      <c r="G550" t="n">
        <v>0.6159803869971027</v>
      </c>
      <c r="H550" t="n">
        <v>0.0264852499740955</v>
      </c>
      <c r="I550" t="n">
        <v>0.0348617404421922</v>
      </c>
      <c r="J550" t="n">
        <v>0.0127860137842932</v>
      </c>
      <c r="K550" t="n">
        <v>0.5578270524492255</v>
      </c>
      <c r="L550" t="b">
        <v>0</v>
      </c>
      <c r="M550" t="b">
        <v>0</v>
      </c>
      <c r="N550" t="inlineStr">
        <is>
          <t>alt</t>
        </is>
      </c>
      <c r="O550" t="n">
        <v>100</v>
      </c>
      <c r="P550" t="n">
        <v>0.0355</v>
      </c>
      <c r="Q550" t="n">
        <v>100</v>
      </c>
      <c r="R550" t="n">
        <v>0.1797</v>
      </c>
      <c r="S550">
        <f>IMAGE("https://mitra.stanford.edu/kundaje/oak/projects/neuro-variants/variant_position/credible/roussos_2024/variant_figures/roussos_2024.childhood.GLU/rs115292163_count_position.png",4,220,900)</f>
        <v/>
      </c>
      <c r="T550">
        <f>IMAGE("https://mitra.stanford.edu/kundaje/oak/projects/neuro-variants/variant_position/credible/roussos_2024/variant_figures/roussos_2024.childhood.GLU/rs115292163_profile_position.png",4,220,900)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0.05634973912</v>
      </c>
      <c r="G551" t="n">
        <v>0.1856177228601759</v>
      </c>
      <c r="H551" t="n">
        <v>0.0164234674985959</v>
      </c>
      <c r="I551" t="n">
        <v>0.2033918435297223</v>
      </c>
      <c r="J551" t="n">
        <v>0.0818630430527367</v>
      </c>
      <c r="K551" t="n">
        <v>0.2783313104677828</v>
      </c>
      <c r="L551" t="b">
        <v>0</v>
      </c>
      <c r="M551" t="b">
        <v>0</v>
      </c>
      <c r="N551" t="inlineStr">
        <is>
          <t>alt</t>
        </is>
      </c>
      <c r="O551" t="n">
        <v>50</v>
      </c>
      <c r="P551" t="n">
        <v>0.002258</v>
      </c>
      <c r="Q551" t="n">
        <v>-5</v>
      </c>
      <c r="R551" t="n">
        <v>0.03748</v>
      </c>
      <c r="S551">
        <f>IMAGE("https://mitra.stanford.edu/kundaje/oak/projects/neuro-variants/variant_position/credible/roussos_2024/variant_figures/roussos_2024.childhood.GLU/rs7130141_count_position.png",4,220,900)</f>
        <v/>
      </c>
      <c r="T551">
        <f>IMAGE("https://mitra.stanford.edu/kundaje/oak/projects/neuro-variants/variant_position/credible/roussos_2024/variant_figures/roussos_2024.childhood.GLU/rs7130141_profile_position.png",4,220,900)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0.0365086608</v>
      </c>
      <c r="G552" t="n">
        <v>0.2571508420740099</v>
      </c>
      <c r="H552" t="n">
        <v>0.0109209826159022</v>
      </c>
      <c r="I552" t="n">
        <v>0.564894950023796</v>
      </c>
      <c r="J552" t="n">
        <v>0.2887881566340774</v>
      </c>
      <c r="K552" t="n">
        <v>0.1011315757069048</v>
      </c>
      <c r="L552" t="b">
        <v>0</v>
      </c>
      <c r="M552" t="b">
        <v>0</v>
      </c>
      <c r="N552" t="inlineStr">
        <is>
          <t>alt</t>
        </is>
      </c>
      <c r="O552" t="n">
        <v>65</v>
      </c>
      <c r="P552" t="n">
        <v>0.011955</v>
      </c>
      <c r="Q552" t="n">
        <v>80</v>
      </c>
      <c r="R552" t="n">
        <v>0.0635</v>
      </c>
      <c r="S552">
        <f>IMAGE("https://mitra.stanford.edu/kundaje/oak/projects/neuro-variants/variant_position/credible/roussos_2024/variant_figures/roussos_2024.childhood.GLU/rs3802888_count_position.png",4,220,900)</f>
        <v/>
      </c>
      <c r="T552">
        <f>IMAGE("https://mitra.stanford.edu/kundaje/oak/projects/neuro-variants/variant_position/credible/roussos_2024/variant_figures/roussos_2024.childhood.GLU/rs3802888_profile_position.png",4,220,900)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-0.0031881426999999</v>
      </c>
      <c r="G553" t="n">
        <v>0.7486442949681366</v>
      </c>
      <c r="H553" t="n">
        <v>0.0063235586629967</v>
      </c>
      <c r="I553" t="n">
        <v>0.9748443017840338</v>
      </c>
      <c r="J553" t="n">
        <v>0.2111860879598627</v>
      </c>
      <c r="K553" t="n">
        <v>0.1403212910702536</v>
      </c>
      <c r="L553" t="b">
        <v>0</v>
      </c>
      <c r="M553" t="b">
        <v>0</v>
      </c>
      <c r="N553" t="inlineStr">
        <is>
          <t>ref</t>
        </is>
      </c>
      <c r="O553" t="n">
        <v>-80</v>
      </c>
      <c r="P553" t="n">
        <v>0.01999</v>
      </c>
      <c r="Q553" t="n">
        <v>-80</v>
      </c>
      <c r="R553" t="n">
        <v>0.2136</v>
      </c>
      <c r="S553">
        <f>IMAGE("https://mitra.stanford.edu/kundaje/oak/projects/neuro-variants/variant_position/credible/roussos_2024/variant_figures/roussos_2024.childhood.GLU/rs17197116_count_position.png",4,220,900)</f>
        <v/>
      </c>
      <c r="T553">
        <f>IMAGE("https://mitra.stanford.edu/kundaje/oak/projects/neuro-variants/variant_position/credible/roussos_2024/variant_figures/roussos_2024.childhood.GLU/rs17197116_profile_position.png",4,220,900)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-0.00551947432</v>
      </c>
      <c r="G554" t="n">
        <v>0.756324337290541</v>
      </c>
      <c r="H554" t="n">
        <v>0.041593988567824</v>
      </c>
      <c r="I554" t="n">
        <v>0.0059228809460233</v>
      </c>
      <c r="J554" t="n">
        <v>0.1498841006727311</v>
      </c>
      <c r="K554" t="n">
        <v>0.1880005648395859</v>
      </c>
      <c r="L554" t="b">
        <v>1</v>
      </c>
      <c r="M554" t="b">
        <v>1</v>
      </c>
      <c r="N554" t="inlineStr">
        <is>
          <t>ref</t>
        </is>
      </c>
      <c r="O554" t="n">
        <v>-100</v>
      </c>
      <c r="P554" t="n">
        <v>0.02222</v>
      </c>
      <c r="Q554" t="n">
        <v>-75</v>
      </c>
      <c r="R554" t="n">
        <v>0.4033</v>
      </c>
      <c r="S554">
        <f>IMAGE("https://mitra.stanford.edu/kundaje/oak/projects/neuro-variants/variant_position/credible/roussos_2024/variant_figures/roussos_2024.childhood.GLU/rs7932866_count_position.png",4,220,900)</f>
        <v/>
      </c>
      <c r="T554">
        <f>IMAGE("https://mitra.stanford.edu/kundaje/oak/projects/neuro-variants/variant_position/credible/roussos_2024/variant_figures/roussos_2024.childhood.GLU/rs7932866_profile_position.png",4,220,900)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-0.001799807568</v>
      </c>
      <c r="G555" t="n">
        <v>0.879788674443177</v>
      </c>
      <c r="H555" t="n">
        <v>0.0233059917863955</v>
      </c>
      <c r="I555" t="n">
        <v>0.0589703621637138</v>
      </c>
      <c r="J555" t="n">
        <v>0.0148454160528294</v>
      </c>
      <c r="K555" t="n">
        <v>0.5325472171911516</v>
      </c>
      <c r="L555" t="b">
        <v>0</v>
      </c>
      <c r="M555" t="b">
        <v>0</v>
      </c>
      <c r="N555" t="inlineStr">
        <is>
          <t>ref</t>
        </is>
      </c>
      <c r="O555" t="n">
        <v>-55</v>
      </c>
      <c r="P555" t="n">
        <v>0.0008545</v>
      </c>
      <c r="Q555" t="n">
        <v>-100</v>
      </c>
      <c r="R555" t="n">
        <v>0.1268</v>
      </c>
      <c r="S555">
        <f>IMAGE("https://mitra.stanford.edu/kundaje/oak/projects/neuro-variants/variant_position/credible/roussos_2024/variant_figures/roussos_2024.childhood.GLU/rs11038919_count_position.png",4,220,900)</f>
        <v/>
      </c>
      <c r="T555">
        <f>IMAGE("https://mitra.stanford.edu/kundaje/oak/projects/neuro-variants/variant_position/credible/roussos_2024/variant_figures/roussos_2024.childhood.GLU/rs11038919_profile_position.png",4,220,900)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-0.0151427036</v>
      </c>
      <c r="G556" t="n">
        <v>0.504234779558865</v>
      </c>
      <c r="H556" t="n">
        <v>0.0107347777524775</v>
      </c>
      <c r="I556" t="n">
        <v>0.5819526209931198</v>
      </c>
      <c r="J556" t="n">
        <v>0.0843881030628328</v>
      </c>
      <c r="K556" t="n">
        <v>0.269490674690174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0.0195</v>
      </c>
      <c r="Q556" t="n">
        <v>-70</v>
      </c>
      <c r="R556" t="n">
        <v>0.1747</v>
      </c>
      <c r="S556">
        <f>IMAGE("https://mitra.stanford.edu/kundaje/oak/projects/neuro-variants/variant_position/credible/roussos_2024/variant_figures/roussos_2024.childhood.GLU/rs61882757_count_position.png",4,220,900)</f>
        <v/>
      </c>
      <c r="T556">
        <f>IMAGE("https://mitra.stanford.edu/kundaje/oak/projects/neuro-variants/variant_position/credible/roussos_2024/variant_figures/roussos_2024.childhood.GLU/rs61882757_profile_position.png",4,220,900)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0.015046171</v>
      </c>
      <c r="G557" t="n">
        <v>0.5358752847971399</v>
      </c>
      <c r="H557" t="n">
        <v>0.0090098300933162</v>
      </c>
      <c r="I557" t="n">
        <v>0.7663685122596686</v>
      </c>
      <c r="J557" t="n">
        <v>0.0087300524380066</v>
      </c>
      <c r="K557" t="n">
        <v>0.6019761998062606</v>
      </c>
      <c r="L557" t="b">
        <v>0</v>
      </c>
      <c r="M557" t="b">
        <v>0</v>
      </c>
      <c r="N557" t="inlineStr">
        <is>
          <t>alt</t>
        </is>
      </c>
      <c r="O557" t="n">
        <v>75</v>
      </c>
      <c r="P557" t="n">
        <v>0.002869</v>
      </c>
      <c r="Q557" t="n">
        <v>100</v>
      </c>
      <c r="R557" t="n">
        <v>0.08749999999999999</v>
      </c>
      <c r="S557">
        <f>IMAGE("https://mitra.stanford.edu/kundaje/oak/projects/neuro-variants/variant_position/credible/roussos_2024/variant_figures/roussos_2024.childhood.GLU/rs55657382_count_position.png",4,220,900)</f>
        <v/>
      </c>
      <c r="T557">
        <f>IMAGE("https://mitra.stanford.edu/kundaje/oak/projects/neuro-variants/variant_position/credible/roussos_2024/variant_figures/roussos_2024.childhood.GLU/rs55657382_profile_position.png",4,220,900)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-0.0113892415999999</v>
      </c>
      <c r="G558" t="n">
        <v>0.6444242386920783</v>
      </c>
      <c r="H558" t="n">
        <v>0.0319817276597539</v>
      </c>
      <c r="I558" t="n">
        <v>0.0162289995265243</v>
      </c>
      <c r="J558" t="n">
        <v>0.024181235641361</v>
      </c>
      <c r="K558" t="n">
        <v>0.4733630559860155</v>
      </c>
      <c r="L558" t="b">
        <v>1</v>
      </c>
      <c r="M558" t="b">
        <v>0</v>
      </c>
      <c r="N558" t="inlineStr">
        <is>
          <t>ref</t>
        </is>
      </c>
      <c r="O558" t="n">
        <v>-30</v>
      </c>
      <c r="P558" t="n">
        <v>0.002197</v>
      </c>
      <c r="Q558" t="n">
        <v>-30</v>
      </c>
      <c r="R558" t="n">
        <v>0.06012</v>
      </c>
      <c r="S558">
        <f>IMAGE("https://mitra.stanford.edu/kundaje/oak/projects/neuro-variants/variant_position/credible/roussos_2024/variant_figures/roussos_2024.childhood.GLU/rs7128092_count_position.png",4,220,900)</f>
        <v/>
      </c>
      <c r="T558">
        <f>IMAGE("https://mitra.stanford.edu/kundaje/oak/projects/neuro-variants/variant_position/credible/roussos_2024/variant_figures/roussos_2024.childhood.GLU/rs7128092_profile_position.png",4,220,900)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0.0646861032</v>
      </c>
      <c r="G559" t="n">
        <v>0.1265204352256761</v>
      </c>
      <c r="H559" t="n">
        <v>0.0171736864244603</v>
      </c>
      <c r="I559" t="n">
        <v>0.1668880082967168</v>
      </c>
      <c r="J559" t="n">
        <v>0.0382508988636714</v>
      </c>
      <c r="K559" t="n">
        <v>0.391578689568224</v>
      </c>
      <c r="L559" t="b">
        <v>0</v>
      </c>
      <c r="M559" t="b">
        <v>0</v>
      </c>
      <c r="N559" t="inlineStr">
        <is>
          <t>alt</t>
        </is>
      </c>
      <c r="O559" t="n">
        <v>-100</v>
      </c>
      <c r="P559" t="n">
        <v>0.01892</v>
      </c>
      <c r="Q559" t="n">
        <v>-65</v>
      </c>
      <c r="R559" t="n">
        <v>0.09265</v>
      </c>
      <c r="S559">
        <f>IMAGE("https://mitra.stanford.edu/kundaje/oak/projects/neuro-variants/variant_position/credible/roussos_2024/variant_figures/roussos_2024.childhood.GLU/rs61884274_count_position.png",4,220,900)</f>
        <v/>
      </c>
      <c r="T559">
        <f>IMAGE("https://mitra.stanford.edu/kundaje/oak/projects/neuro-variants/variant_position/credible/roussos_2024/variant_figures/roussos_2024.childhood.GLU/rs61884274_profile_position.png",4,220,900)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-0.1441575809999999</v>
      </c>
      <c r="G560" t="n">
        <v>0.019329196235289</v>
      </c>
      <c r="H560" t="n">
        <v>0.0201439058051275</v>
      </c>
      <c r="I560" t="n">
        <v>0.1042413128966224</v>
      </c>
      <c r="J560" t="n">
        <v>0.4476639846703823</v>
      </c>
      <c r="K560" t="n">
        <v>0.0529503340115655</v>
      </c>
      <c r="L560" t="b">
        <v>1</v>
      </c>
      <c r="M560" t="b">
        <v>0</v>
      </c>
      <c r="N560" t="inlineStr">
        <is>
          <t>ref</t>
        </is>
      </c>
      <c r="O560" t="n">
        <v>-5</v>
      </c>
      <c r="P560" t="n">
        <v>0.0012665</v>
      </c>
      <c r="Q560" t="n">
        <v>-35</v>
      </c>
      <c r="R560" t="n">
        <v>0.062</v>
      </c>
      <c r="S560">
        <f>IMAGE("https://mitra.stanford.edu/kundaje/oak/projects/neuro-variants/variant_position/credible/roussos_2024/variant_figures/roussos_2024.childhood.GLU/rs10838610_count_position.png",4,220,900)</f>
        <v/>
      </c>
      <c r="T560">
        <f>IMAGE("https://mitra.stanford.edu/kundaje/oak/projects/neuro-variants/variant_position/credible/roussos_2024/variant_figures/roussos_2024.childhood.GLU/rs10838610_profile_position.png",4,220,900)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0.06311662179999999</v>
      </c>
      <c r="G561" t="n">
        <v>0.1180535445421176</v>
      </c>
      <c r="H561" t="n">
        <v>0.0181922440642442</v>
      </c>
      <c r="I561" t="n">
        <v>0.1457414597347912</v>
      </c>
      <c r="J561" t="n">
        <v>0.1009004089958482</v>
      </c>
      <c r="K561" t="n">
        <v>0.2430467566748486</v>
      </c>
      <c r="L561" t="b">
        <v>0</v>
      </c>
      <c r="M561" t="b">
        <v>0</v>
      </c>
      <c r="N561" t="inlineStr">
        <is>
          <t>alt</t>
        </is>
      </c>
      <c r="O561" t="n">
        <v>-85</v>
      </c>
      <c r="P561" t="n">
        <v>0.001999</v>
      </c>
      <c r="Q561" t="n">
        <v>-70</v>
      </c>
      <c r="R561" t="n">
        <v>0.1843</v>
      </c>
      <c r="S561">
        <f>IMAGE("https://mitra.stanford.edu/kundaje/oak/projects/neuro-variants/variant_position/credible/roussos_2024/variant_figures/roussos_2024.childhood.GLU/rs10466477_count_position.png",4,220,900)</f>
        <v/>
      </c>
      <c r="T561">
        <f>IMAGE("https://mitra.stanford.edu/kundaje/oak/projects/neuro-variants/variant_position/credible/roussos_2024/variant_figures/roussos_2024.childhood.GLU/rs10466477_profile_position.png",4,220,900)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-0.0058748194</v>
      </c>
      <c r="G562" t="n">
        <v>0.7327688337258045</v>
      </c>
      <c r="H562" t="n">
        <v>0.0324223330904204</v>
      </c>
      <c r="I562" t="n">
        <v>0.0154111379494214</v>
      </c>
      <c r="J562" t="n">
        <v>0.0018276036139984</v>
      </c>
      <c r="K562" t="n">
        <v>0.7753320329675716</v>
      </c>
      <c r="L562" t="b">
        <v>0</v>
      </c>
      <c r="M562" t="b">
        <v>0</v>
      </c>
      <c r="N562" t="inlineStr">
        <is>
          <t>ref</t>
        </is>
      </c>
      <c r="O562" t="n">
        <v>-60</v>
      </c>
      <c r="P562" t="n">
        <v>0.004547</v>
      </c>
      <c r="Q562" t="n">
        <v>-80</v>
      </c>
      <c r="R562" t="n">
        <v>0.0596</v>
      </c>
      <c r="S562">
        <f>IMAGE("https://mitra.stanford.edu/kundaje/oak/projects/neuro-variants/variant_position/credible/roussos_2024/variant_figures/roussos_2024.childhood.GLU/rs7111811_count_position.png",4,220,900)</f>
        <v/>
      </c>
      <c r="T562">
        <f>IMAGE("https://mitra.stanford.edu/kundaje/oak/projects/neuro-variants/variant_position/credible/roussos_2024/variant_figures/roussos_2024.childhood.GLU/rs7111811_profile_position.png",4,220,900)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0.0877588279999999</v>
      </c>
      <c r="G563" t="n">
        <v>0.0600277681444611</v>
      </c>
      <c r="H563" t="n">
        <v>0.0115434574555553</v>
      </c>
      <c r="I563" t="n">
        <v>0.4957224144795762</v>
      </c>
      <c r="J563" t="n">
        <v>0.0007211513696724</v>
      </c>
      <c r="K563" t="n">
        <v>0.8540025304532888</v>
      </c>
      <c r="L563" t="b">
        <v>0</v>
      </c>
      <c r="M563" t="b">
        <v>0</v>
      </c>
      <c r="N563" t="inlineStr">
        <is>
          <t>alt</t>
        </is>
      </c>
      <c r="O563" t="n">
        <v>100</v>
      </c>
      <c r="P563" t="n">
        <v>0.00668</v>
      </c>
      <c r="Q563" t="n">
        <v>95</v>
      </c>
      <c r="R563" t="n">
        <v>0.02979</v>
      </c>
      <c r="S563">
        <f>IMAGE("https://mitra.stanford.edu/kundaje/oak/projects/neuro-variants/variant_position/credible/roussos_2024/variant_figures/roussos_2024.childhood.GLU/rs6485690_count_position.png",4,220,900)</f>
        <v/>
      </c>
      <c r="T563">
        <f>IMAGE("https://mitra.stanford.edu/kundaje/oak/projects/neuro-variants/variant_position/credible/roussos_2024/variant_figures/roussos_2024.childhood.GLU/rs6485690_profile_position.png",4,220,900)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0.0548546996</v>
      </c>
      <c r="G564" t="n">
        <v>0.1493722856059935</v>
      </c>
      <c r="H564" t="n">
        <v>0.0104288968026001</v>
      </c>
      <c r="I564" t="n">
        <v>0.614559433990164</v>
      </c>
      <c r="J564" t="n">
        <v>0.0308683692707098</v>
      </c>
      <c r="K564" t="n">
        <v>0.4223948078054765</v>
      </c>
      <c r="L564" t="b">
        <v>0</v>
      </c>
      <c r="M564" t="b">
        <v>0</v>
      </c>
      <c r="N564" t="inlineStr">
        <is>
          <t>alt</t>
        </is>
      </c>
      <c r="O564" t="n">
        <v>-95</v>
      </c>
      <c r="P564" t="n">
        <v>0.02698</v>
      </c>
      <c r="Q564" t="n">
        <v>-70</v>
      </c>
      <c r="R564" t="n">
        <v>0.01852</v>
      </c>
      <c r="S564">
        <f>IMAGE("https://mitra.stanford.edu/kundaje/oak/projects/neuro-variants/variant_position/credible/roussos_2024/variant_figures/roussos_2024.childhood.GLU/rs7118097_count_position.png",4,220,900)</f>
        <v/>
      </c>
      <c r="T564">
        <f>IMAGE("https://mitra.stanford.edu/kundaje/oak/projects/neuro-variants/variant_position/credible/roussos_2024/variant_figures/roussos_2024.childhood.GLU/rs7118097_profile_position.png",4,220,900)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0.02784958468</v>
      </c>
      <c r="G565" t="n">
        <v>0.3551068844488917</v>
      </c>
      <c r="H565" t="n">
        <v>0.029319609595151</v>
      </c>
      <c r="I565" t="n">
        <v>0.0237770324029637</v>
      </c>
      <c r="J565" t="n">
        <v>0.0327248189394953</v>
      </c>
      <c r="K565" t="n">
        <v>0.4165277097943322</v>
      </c>
      <c r="L565" t="b">
        <v>0</v>
      </c>
      <c r="M565" t="b">
        <v>0</v>
      </c>
      <c r="N565" t="inlineStr">
        <is>
          <t>alt</t>
        </is>
      </c>
      <c r="O565" t="n">
        <v>0</v>
      </c>
      <c r="P565" t="n">
        <v>0</v>
      </c>
      <c r="Q565" t="n">
        <v>-20</v>
      </c>
      <c r="R565" t="n">
        <v>0.03735</v>
      </c>
      <c r="S565">
        <f>IMAGE("https://mitra.stanford.edu/kundaje/oak/projects/neuro-variants/variant_position/credible/roussos_2024/variant_figures/roussos_2024.childhood.GLU/rs6485696_count_position.png",4,220,900)</f>
        <v/>
      </c>
      <c r="T565">
        <f>IMAGE("https://mitra.stanford.edu/kundaje/oak/projects/neuro-variants/variant_position/credible/roussos_2024/variant_figures/roussos_2024.childhood.GLU/rs6485696_profile_position.png",4,220,900)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-0.112011448</v>
      </c>
      <c r="G566" t="n">
        <v>0.0353255507437299</v>
      </c>
      <c r="H566" t="n">
        <v>0.0146471166194622</v>
      </c>
      <c r="I566" t="n">
        <v>0.281086822964363</v>
      </c>
      <c r="J566" t="n">
        <v>0.0296794997269926</v>
      </c>
      <c r="K566" t="n">
        <v>0.4421027810416279</v>
      </c>
      <c r="L566" t="b">
        <v>0</v>
      </c>
      <c r="M566" t="b">
        <v>0</v>
      </c>
      <c r="N566" t="inlineStr">
        <is>
          <t>ref</t>
        </is>
      </c>
      <c r="O566" t="n">
        <v>-65</v>
      </c>
      <c r="P566" t="n">
        <v>0.1499</v>
      </c>
      <c r="Q566" t="n">
        <v>-100</v>
      </c>
      <c r="R566" t="n">
        <v>0.1296</v>
      </c>
      <c r="S566">
        <f>IMAGE("https://mitra.stanford.edu/kundaje/oak/projects/neuro-variants/variant_position/credible/roussos_2024/variant_figures/roussos_2024.childhood.GLU/rs11824327_count_position.png",4,220,900)</f>
        <v/>
      </c>
      <c r="T566">
        <f>IMAGE("https://mitra.stanford.edu/kundaje/oak/projects/neuro-variants/variant_position/credible/roussos_2024/variant_figures/roussos_2024.childhood.GLU/rs11824327_profile_position.png",4,220,900)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-0.0051425806</v>
      </c>
      <c r="G567" t="n">
        <v>0.8199503551747378</v>
      </c>
      <c r="H567" t="n">
        <v>0.0238105637079757</v>
      </c>
      <c r="I567" t="n">
        <v>0.0524972389730438</v>
      </c>
      <c r="J567" t="n">
        <v>0.1358206187478751</v>
      </c>
      <c r="K567" t="n">
        <v>0.1997536381827114</v>
      </c>
      <c r="L567" t="b">
        <v>0</v>
      </c>
      <c r="M567" t="b">
        <v>0</v>
      </c>
      <c r="N567" t="inlineStr">
        <is>
          <t>ref</t>
        </is>
      </c>
      <c r="O567" t="n">
        <v>100</v>
      </c>
      <c r="P567" t="n">
        <v>0.02103</v>
      </c>
      <c r="Q567" t="n">
        <v>-70</v>
      </c>
      <c r="R567" t="n">
        <v>0.081</v>
      </c>
      <c r="S567">
        <f>IMAGE("https://mitra.stanford.edu/kundaje/oak/projects/neuro-variants/variant_position/credible/roussos_2024/variant_figures/roussos_2024.childhood.GLU/rs7938960_count_position.png",4,220,900)</f>
        <v/>
      </c>
      <c r="T567">
        <f>IMAGE("https://mitra.stanford.edu/kundaje/oak/projects/neuro-variants/variant_position/credible/roussos_2024/variant_figures/roussos_2024.childhood.GLU/rs7938960_profile_position.png",4,220,900)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-0.0357594614</v>
      </c>
      <c r="G568" t="n">
        <v>0.2913365914635977</v>
      </c>
      <c r="H568" t="n">
        <v>0.0251357194914301</v>
      </c>
      <c r="I568" t="n">
        <v>0.0457657785979888</v>
      </c>
      <c r="J568" t="n">
        <v>0.0105288099972183</v>
      </c>
      <c r="K568" t="n">
        <v>0.575239591200119</v>
      </c>
      <c r="L568" t="b">
        <v>0</v>
      </c>
      <c r="M568" t="b">
        <v>0</v>
      </c>
      <c r="N568" t="inlineStr">
        <is>
          <t>ref</t>
        </is>
      </c>
      <c r="O568" t="n">
        <v>-100</v>
      </c>
      <c r="P568" t="n">
        <v>0.02039</v>
      </c>
      <c r="Q568" t="n">
        <v>100</v>
      </c>
      <c r="R568" t="n">
        <v>0.1063</v>
      </c>
      <c r="S568">
        <f>IMAGE("https://mitra.stanford.edu/kundaje/oak/projects/neuro-variants/variant_position/credible/roussos_2024/variant_figures/roussos_2024.childhood.GLU/rs11039012_count_position.png",4,220,900)</f>
        <v/>
      </c>
      <c r="T568">
        <f>IMAGE("https://mitra.stanford.edu/kundaje/oak/projects/neuro-variants/variant_position/credible/roussos_2024/variant_figures/roussos_2024.childhood.GLU/rs11039012_profile_position.png",4,220,900)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-0.01799629352</v>
      </c>
      <c r="G569" t="n">
        <v>0.3165813126314586</v>
      </c>
      <c r="H569" t="n">
        <v>0.0160404511667037</v>
      </c>
      <c r="I569" t="n">
        <v>0.221813539331631</v>
      </c>
      <c r="J569" t="n">
        <v>0.0376420410644193</v>
      </c>
      <c r="K569" t="n">
        <v>0.3994712422024077</v>
      </c>
      <c r="L569" t="b">
        <v>0</v>
      </c>
      <c r="M569" t="b">
        <v>0</v>
      </c>
      <c r="N569" t="inlineStr">
        <is>
          <t>ref</t>
        </is>
      </c>
      <c r="O569" t="n">
        <v>95</v>
      </c>
      <c r="P569" t="n">
        <v>0.0012</v>
      </c>
      <c r="Q569" t="n">
        <v>-55</v>
      </c>
      <c r="R569" t="n">
        <v>0.1422</v>
      </c>
      <c r="S569">
        <f>IMAGE("https://mitra.stanford.edu/kundaje/oak/projects/neuro-variants/variant_position/credible/roussos_2024/variant_figures/roussos_2024.childhood.GLU/rs12273360_count_position.png",4,220,900)</f>
        <v/>
      </c>
      <c r="T569">
        <f>IMAGE("https://mitra.stanford.edu/kundaje/oak/projects/neuro-variants/variant_position/credible/roussos_2024/variant_figures/roussos_2024.childhood.GLU/rs12273360_profile_position.png",4,220,900)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0.0564143688</v>
      </c>
      <c r="G570" t="n">
        <v>0.150061447984614</v>
      </c>
      <c r="H570" t="n">
        <v>0.0252997627847888</v>
      </c>
      <c r="I570" t="n">
        <v>0.042113926787265</v>
      </c>
      <c r="J570" t="n">
        <v>0.1162331173313278</v>
      </c>
      <c r="K570" t="n">
        <v>0.2264062847350964</v>
      </c>
      <c r="L570" t="b">
        <v>0</v>
      </c>
      <c r="M570" t="b">
        <v>0</v>
      </c>
      <c r="N570" t="inlineStr">
        <is>
          <t>alt</t>
        </is>
      </c>
      <c r="O570" t="n">
        <v>20</v>
      </c>
      <c r="P570" t="n">
        <v>0.008699999999999999</v>
      </c>
      <c r="Q570" t="n">
        <v>15</v>
      </c>
      <c r="R570" t="n">
        <v>0.04813</v>
      </c>
      <c r="S570">
        <f>IMAGE("https://mitra.stanford.edu/kundaje/oak/projects/neuro-variants/variant_position/credible/roussos_2024/variant_figures/roussos_2024.childhood.GLU/rs61898529_count_position.png",4,220,900)</f>
        <v/>
      </c>
      <c r="T570">
        <f>IMAGE("https://mitra.stanford.edu/kundaje/oak/projects/neuro-variants/variant_position/credible/roussos_2024/variant_figures/roussos_2024.childhood.GLU/rs61898529_profile_position.png",4,220,900)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-0.0432137068</v>
      </c>
      <c r="G571" t="n">
        <v>0.2273916167832282</v>
      </c>
      <c r="H571" t="n">
        <v>0.0131727054306874</v>
      </c>
      <c r="I571" t="n">
        <v>0.3589862500597924</v>
      </c>
      <c r="J571" t="n">
        <v>0.4153306479029949</v>
      </c>
      <c r="K571" t="n">
        <v>0.0605546639831791</v>
      </c>
      <c r="L571" t="b">
        <v>0</v>
      </c>
      <c r="M571" t="b">
        <v>0</v>
      </c>
      <c r="N571" t="inlineStr">
        <is>
          <t>ref</t>
        </is>
      </c>
      <c r="O571" t="n">
        <v>100</v>
      </c>
      <c r="P571" t="n">
        <v>0.04047</v>
      </c>
      <c r="Q571" t="n">
        <v>-55</v>
      </c>
      <c r="R571" t="n">
        <v>0.2705</v>
      </c>
      <c r="S571">
        <f>IMAGE("https://mitra.stanford.edu/kundaje/oak/projects/neuro-variants/variant_position/credible/roussos_2024/variant_figures/roussos_2024.childhood.GLU/rs7128102_count_position.png",4,220,900)</f>
        <v/>
      </c>
      <c r="T571">
        <f>IMAGE("https://mitra.stanford.edu/kundaje/oak/projects/neuro-variants/variant_position/credible/roussos_2024/variant_figures/roussos_2024.childhood.GLU/rs7128102_profile_position.png",4,220,900)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-0.0494610605999999</v>
      </c>
      <c r="G572" t="n">
        <v>0.1866442225858139</v>
      </c>
      <c r="H572" t="n">
        <v>0.0124108512538366</v>
      </c>
      <c r="I572" t="n">
        <v>0.4141725728849169</v>
      </c>
      <c r="J572" t="n">
        <v>0.523786662820526</v>
      </c>
      <c r="K572" t="n">
        <v>0.0376724106286397</v>
      </c>
      <c r="L572" t="b">
        <v>0</v>
      </c>
      <c r="M572" t="b">
        <v>0</v>
      </c>
      <c r="N572" t="inlineStr">
        <is>
          <t>ref</t>
        </is>
      </c>
      <c r="O572" t="n">
        <v>65</v>
      </c>
      <c r="P572" t="n">
        <v>0.0005655</v>
      </c>
      <c r="Q572" t="n">
        <v>-65</v>
      </c>
      <c r="R572" t="n">
        <v>0.1057</v>
      </c>
      <c r="S572">
        <f>IMAGE("https://mitra.stanford.edu/kundaje/oak/projects/neuro-variants/variant_position/credible/roussos_2024/variant_figures/roussos_2024.childhood.GLU/rs7120113_count_position.png",4,220,900)</f>
        <v/>
      </c>
      <c r="T572">
        <f>IMAGE("https://mitra.stanford.edu/kundaje/oak/projects/neuro-variants/variant_position/credible/roussos_2024/variant_figures/roussos_2024.childhood.GLU/rs7120113_profile_position.png",4,220,900)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0.00614213226</v>
      </c>
      <c r="G573" t="n">
        <v>0.590628149685981</v>
      </c>
      <c r="H573" t="n">
        <v>0.0469319967292135</v>
      </c>
      <c r="I573" t="n">
        <v>0.003497997759544</v>
      </c>
      <c r="J573" t="n">
        <v>0.0171242543809945</v>
      </c>
      <c r="K573" t="n">
        <v>0.5100370435974813</v>
      </c>
      <c r="L573" t="b">
        <v>1</v>
      </c>
      <c r="M573" t="b">
        <v>0</v>
      </c>
      <c r="N573" t="inlineStr">
        <is>
          <t>alt</t>
        </is>
      </c>
      <c r="O573" t="n">
        <v>-100</v>
      </c>
      <c r="P573" t="n">
        <v>0.298</v>
      </c>
      <c r="Q573" t="n">
        <v>-60</v>
      </c>
      <c r="R573" t="n">
        <v>0.02002</v>
      </c>
      <c r="S573">
        <f>IMAGE("https://mitra.stanford.edu/kundaje/oak/projects/neuro-variants/variant_position/credible/roussos_2024/variant_figures/roussos_2024.childhood.GLU/rs118012321_count_position.png",4,220,900)</f>
        <v/>
      </c>
      <c r="T573">
        <f>IMAGE("https://mitra.stanford.edu/kundaje/oak/projects/neuro-variants/variant_position/credible/roussos_2024/variant_figures/roussos_2024.childhood.GLU/rs118012321_profile_position.png",4,220,900)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-0.0988018702</v>
      </c>
      <c r="G574" t="n">
        <v>0.0503355992690609</v>
      </c>
      <c r="H574" t="n">
        <v>0.0141313342988138</v>
      </c>
      <c r="I574" t="n">
        <v>0.2833726248155</v>
      </c>
      <c r="J574" t="n">
        <v>0.2424438789701958</v>
      </c>
      <c r="K574" t="n">
        <v>0.1227956730427799</v>
      </c>
      <c r="L574" t="b">
        <v>0</v>
      </c>
      <c r="M574" t="b">
        <v>0</v>
      </c>
      <c r="N574" t="inlineStr">
        <is>
          <t>ref</t>
        </is>
      </c>
      <c r="O574" t="n">
        <v>95</v>
      </c>
      <c r="P574" t="n">
        <v>0.01106</v>
      </c>
      <c r="Q574" t="n">
        <v>0</v>
      </c>
      <c r="R574" t="n">
        <v>0</v>
      </c>
      <c r="S574">
        <f>IMAGE("https://mitra.stanford.edu/kundaje/oak/projects/neuro-variants/variant_position/credible/roussos_2024/variant_figures/roussos_2024.childhood.GLU/rs10838660_count_position.png",4,220,900)</f>
        <v/>
      </c>
      <c r="T574">
        <f>IMAGE("https://mitra.stanford.edu/kundaje/oak/projects/neuro-variants/variant_position/credible/roussos_2024/variant_figures/roussos_2024.childhood.GLU/rs10838660_profile_position.png",4,220,900)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0.0567124517999999</v>
      </c>
      <c r="G575" t="n">
        <v>0.1411189588743238</v>
      </c>
      <c r="H575" t="n">
        <v>0.0165578581547465</v>
      </c>
      <c r="I575" t="n">
        <v>0.1839812471565147</v>
      </c>
      <c r="J575" t="n">
        <v>0.07738366283082811</v>
      </c>
      <c r="K575" t="n">
        <v>0.2822207945589112</v>
      </c>
      <c r="L575" t="b">
        <v>0</v>
      </c>
      <c r="M575" t="b">
        <v>0</v>
      </c>
      <c r="N575" t="inlineStr">
        <is>
          <t>alt</t>
        </is>
      </c>
      <c r="O575" t="n">
        <v>-100</v>
      </c>
      <c r="P575" t="n">
        <v>0.004513</v>
      </c>
      <c r="Q575" t="n">
        <v>-20</v>
      </c>
      <c r="R575" t="n">
        <v>0.0668</v>
      </c>
      <c r="S575">
        <f>IMAGE("https://mitra.stanford.edu/kundaje/oak/projects/neuro-variants/variant_position/credible/roussos_2024/variant_figures/roussos_2024.childhood.GLU/rs7121418_count_position.png",4,220,900)</f>
        <v/>
      </c>
      <c r="T575">
        <f>IMAGE("https://mitra.stanford.edu/kundaje/oak/projects/neuro-variants/variant_position/credible/roussos_2024/variant_figures/roussos_2024.childhood.GLU/rs7121418_profile_position.png",4,220,900)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-0.0585844212</v>
      </c>
      <c r="G576" t="n">
        <v>0.1369476139502712</v>
      </c>
      <c r="H576" t="n">
        <v>0.0153318225577682</v>
      </c>
      <c r="I576" t="n">
        <v>0.2304351299026245</v>
      </c>
      <c r="J576" t="n">
        <v>0.1644276633665406</v>
      </c>
      <c r="K576" t="n">
        <v>0.1754179909712888</v>
      </c>
      <c r="L576" t="b">
        <v>0</v>
      </c>
      <c r="M576" t="b">
        <v>0</v>
      </c>
      <c r="N576" t="inlineStr">
        <is>
          <t>ref</t>
        </is>
      </c>
      <c r="O576" t="n">
        <v>100</v>
      </c>
      <c r="P576" t="n">
        <v>0.0369</v>
      </c>
      <c r="Q576" t="n">
        <v>-55</v>
      </c>
      <c r="R576" t="n">
        <v>0.06519999999999999</v>
      </c>
      <c r="S576">
        <f>IMAGE("https://mitra.stanford.edu/kundaje/oak/projects/neuro-variants/variant_position/credible/roussos_2024/variant_figures/roussos_2024.childhood.GLU/rs1631684_count_position.png",4,220,900)</f>
        <v/>
      </c>
      <c r="T576">
        <f>IMAGE("https://mitra.stanford.edu/kundaje/oak/projects/neuro-variants/variant_position/credible/roussos_2024/variant_figures/roussos_2024.childhood.GLU/rs1631684_profile_position.png",4,220,900)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0.0401847699999999</v>
      </c>
      <c r="G577" t="n">
        <v>0.2367442513836174</v>
      </c>
      <c r="H577" t="n">
        <v>0.0212157940979293</v>
      </c>
      <c r="I577" t="n">
        <v>0.0810028733474864</v>
      </c>
      <c r="J577" t="n">
        <v>0.3655299947458971</v>
      </c>
      <c r="K577" t="n">
        <v>0.07478904976105499</v>
      </c>
      <c r="L577" t="b">
        <v>0</v>
      </c>
      <c r="M577" t="b">
        <v>0</v>
      </c>
      <c r="N577" t="inlineStr">
        <is>
          <t>alt</t>
        </is>
      </c>
      <c r="O577" t="n">
        <v>50</v>
      </c>
      <c r="P577" t="n">
        <v>0.02144</v>
      </c>
      <c r="Q577" t="n">
        <v>90</v>
      </c>
      <c r="R577" t="n">
        <v>0.1351</v>
      </c>
      <c r="S577">
        <f>IMAGE("https://mitra.stanford.edu/kundaje/oak/projects/neuro-variants/variant_position/credible/roussos_2024/variant_figures/roussos_2024.childhood.GLU/rs499188_count_position.png",4,220,900)</f>
        <v/>
      </c>
      <c r="T577">
        <f>IMAGE("https://mitra.stanford.edu/kundaje/oak/projects/neuro-variants/variant_position/credible/roussos_2024/variant_figures/roussos_2024.childhood.GLU/rs499188_profile_position.png",4,220,900)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-0.1245475359999999</v>
      </c>
      <c r="G578" t="n">
        <v>0.0271495283674248</v>
      </c>
      <c r="H578" t="n">
        <v>0.024584042678228</v>
      </c>
      <c r="I578" t="n">
        <v>0.0482213160805442</v>
      </c>
      <c r="J578" t="n">
        <v>0.827374905992768</v>
      </c>
      <c r="K578" t="n">
        <v>0.005542359293944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0.02039</v>
      </c>
      <c r="Q578" t="n">
        <v>95</v>
      </c>
      <c r="R578" t="n">
        <v>0.2014</v>
      </c>
      <c r="S578">
        <f>IMAGE("https://mitra.stanford.edu/kundaje/oak/projects/neuro-variants/variant_position/credible/roussos_2024/variant_figures/roussos_2024.childhood.GLU/rs12146541_count_position.png",4,220,900)</f>
        <v/>
      </c>
      <c r="T578">
        <f>IMAGE("https://mitra.stanford.edu/kundaje/oak/projects/neuro-variants/variant_position/credible/roussos_2024/variant_figures/roussos_2024.childhood.GLU/rs12146541_profile_position.png",4,220,900)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0.005346017</v>
      </c>
      <c r="G579" t="n">
        <v>0.4738910350386883</v>
      </c>
      <c r="H579" t="n">
        <v>0.0142244028014594</v>
      </c>
      <c r="I579" t="n">
        <v>0.2865053664178977</v>
      </c>
      <c r="J579" t="n">
        <v>0.08429744403350251</v>
      </c>
      <c r="K579" t="n">
        <v>0.2733211828924657</v>
      </c>
      <c r="L579" t="b">
        <v>0</v>
      </c>
      <c r="M579" t="b">
        <v>0</v>
      </c>
      <c r="N579" t="inlineStr">
        <is>
          <t>alt</t>
        </is>
      </c>
      <c r="O579" t="n">
        <v>95</v>
      </c>
      <c r="P579" t="n">
        <v>0.01797</v>
      </c>
      <c r="Q579" t="n">
        <v>90</v>
      </c>
      <c r="R579" t="n">
        <v>0.05017</v>
      </c>
      <c r="S579">
        <f>IMAGE("https://mitra.stanford.edu/kundaje/oak/projects/neuro-variants/variant_position/credible/roussos_2024/variant_figures/roussos_2024.childhood.GLU/rs35808061_count_position.png",4,220,900)</f>
        <v/>
      </c>
      <c r="T579">
        <f>IMAGE("https://mitra.stanford.edu/kundaje/oak/projects/neuro-variants/variant_position/credible/roussos_2024/variant_figures/roussos_2024.childhood.GLU/rs35808061_profile_position.png",4,220,900)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0.0624050426</v>
      </c>
      <c r="G580" t="n">
        <v>0.117123575911548</v>
      </c>
      <c r="H580" t="n">
        <v>0.009585238666686599</v>
      </c>
      <c r="I580" t="n">
        <v>0.7102826171870723</v>
      </c>
      <c r="J580" t="n">
        <v>0.0393254144044834</v>
      </c>
      <c r="K580" t="n">
        <v>0.3856536688614135</v>
      </c>
      <c r="L580" t="b">
        <v>0</v>
      </c>
      <c r="M580" t="b">
        <v>0</v>
      </c>
      <c r="N580" t="inlineStr">
        <is>
          <t>alt</t>
        </is>
      </c>
      <c r="O580" t="n">
        <v>-95</v>
      </c>
      <c r="P580" t="n">
        <v>0.005478</v>
      </c>
      <c r="Q580" t="n">
        <v>100</v>
      </c>
      <c r="R580" t="n">
        <v>0.0759</v>
      </c>
      <c r="S580">
        <f>IMAGE("https://mitra.stanford.edu/kundaje/oak/projects/neuro-variants/variant_position/credible/roussos_2024/variant_figures/roussos_2024.childhood.GLU/rs11570181_count_position.png",4,220,900)</f>
        <v/>
      </c>
      <c r="T580">
        <f>IMAGE("https://mitra.stanford.edu/kundaje/oak/projects/neuro-variants/variant_position/credible/roussos_2024/variant_figures/roussos_2024.childhood.GLU/rs11570181_profile_position.png",4,220,900)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-0.0184554948</v>
      </c>
      <c r="G581" t="n">
        <v>0.4967496891310913</v>
      </c>
      <c r="H581" t="n">
        <v>0.0387174307635126</v>
      </c>
      <c r="I581" t="n">
        <v>0.0077594184054754</v>
      </c>
      <c r="J581" t="n">
        <v>0.0181008993787795</v>
      </c>
      <c r="K581" t="n">
        <v>0.5075148485577227</v>
      </c>
      <c r="L581" t="b">
        <v>1</v>
      </c>
      <c r="M581" t="b">
        <v>0</v>
      </c>
      <c r="N581" t="inlineStr">
        <is>
          <t>ref</t>
        </is>
      </c>
      <c r="O581" t="n">
        <v>-85</v>
      </c>
      <c r="P581" t="n">
        <v>0.01843</v>
      </c>
      <c r="Q581" t="n">
        <v>-65</v>
      </c>
      <c r="R581" t="n">
        <v>0.03323</v>
      </c>
      <c r="S581">
        <f>IMAGE("https://mitra.stanford.edu/kundaje/oak/projects/neuro-variants/variant_position/credible/roussos_2024/variant_figures/roussos_2024.childhood.GLU/rs1268667_count_position.png",4,220,900)</f>
        <v/>
      </c>
      <c r="T581">
        <f>IMAGE("https://mitra.stanford.edu/kundaje/oak/projects/neuro-variants/variant_position/credible/roussos_2024/variant_figures/roussos_2024.childhood.GLU/rs1268667_profile_position.png",4,220,900)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-0.04112073334</v>
      </c>
      <c r="G582" t="n">
        <v>0.2461484807253832</v>
      </c>
      <c r="H582" t="n">
        <v>0.0180876117687975</v>
      </c>
      <c r="I582" t="n">
        <v>0.1450736183678166</v>
      </c>
      <c r="J582" t="n">
        <v>0.6072578734276325</v>
      </c>
      <c r="K582" t="n">
        <v>0.024186487897024</v>
      </c>
      <c r="L582" t="b">
        <v>0</v>
      </c>
      <c r="M582" t="b">
        <v>0</v>
      </c>
      <c r="N582" t="inlineStr">
        <is>
          <t>ref</t>
        </is>
      </c>
      <c r="O582" t="n">
        <v>-65</v>
      </c>
      <c r="P582" t="n">
        <v>0.01158</v>
      </c>
      <c r="Q582" t="n">
        <v>-65</v>
      </c>
      <c r="R582" t="n">
        <v>0.09470000000000001</v>
      </c>
      <c r="S582">
        <f>IMAGE("https://mitra.stanford.edu/kundaje/oak/projects/neuro-variants/variant_position/credible/roussos_2024/variant_figures/roussos_2024.childhood.GLU/rs4980505_count_position.png",4,220,900)</f>
        <v/>
      </c>
      <c r="T582">
        <f>IMAGE("https://mitra.stanford.edu/kundaje/oak/projects/neuro-variants/variant_position/credible/roussos_2024/variant_figures/roussos_2024.childhood.GLU/rs4980505_profile_position.png",4,220,900)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-0.0198429712</v>
      </c>
      <c r="G583" t="n">
        <v>0.4642531999244986</v>
      </c>
      <c r="H583" t="n">
        <v>0.0103357044807845</v>
      </c>
      <c r="I583" t="n">
        <v>0.6022286240283931</v>
      </c>
      <c r="J583" t="n">
        <v>0.5238062369291315</v>
      </c>
      <c r="K583" t="n">
        <v>0.038041424645925</v>
      </c>
      <c r="L583" t="b">
        <v>0</v>
      </c>
      <c r="M583" t="b">
        <v>0</v>
      </c>
      <c r="N583" t="inlineStr">
        <is>
          <t>ref</t>
        </is>
      </c>
      <c r="O583" t="n">
        <v>100</v>
      </c>
      <c r="P583" t="n">
        <v>0.004723</v>
      </c>
      <c r="Q583" t="n">
        <v>-15</v>
      </c>
      <c r="R583" t="n">
        <v>0.004517</v>
      </c>
      <c r="S583">
        <f>IMAGE("https://mitra.stanford.edu/kundaje/oak/projects/neuro-variants/variant_position/credible/roussos_2024/variant_figures/roussos_2024.childhood.GLU/rs2014328_count_position.png",4,220,900)</f>
        <v/>
      </c>
      <c r="T583">
        <f>IMAGE("https://mitra.stanford.edu/kundaje/oak/projects/neuro-variants/variant_position/credible/roussos_2024/variant_figures/roussos_2024.childhood.GLU/rs2014328_profile_position.png",4,220,900)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-0.160997078</v>
      </c>
      <c r="G584" t="n">
        <v>0.0152180079074836</v>
      </c>
      <c r="H584" t="n">
        <v>0.0183284581193117</v>
      </c>
      <c r="I584" t="n">
        <v>0.1319735150171553</v>
      </c>
      <c r="J584" t="n">
        <v>0.5744166400527471</v>
      </c>
      <c r="K584" t="n">
        <v>0.0302056670313798</v>
      </c>
      <c r="L584" t="b">
        <v>1</v>
      </c>
      <c r="M584" t="b">
        <v>0</v>
      </c>
      <c r="N584" t="inlineStr">
        <is>
          <t>ref</t>
        </is>
      </c>
      <c r="O584" t="n">
        <v>-5</v>
      </c>
      <c r="P584" t="n">
        <v>0.0005274</v>
      </c>
      <c r="Q584" t="n">
        <v>-40</v>
      </c>
      <c r="R584" t="n">
        <v>0.0232</v>
      </c>
      <c r="S584">
        <f>IMAGE("https://mitra.stanford.edu/kundaje/oak/projects/neuro-variants/variant_position/credible/roussos_2024/variant_figures/roussos_2024.childhood.GLU/rs478294_count_position.png",4,220,900)</f>
        <v/>
      </c>
      <c r="T584">
        <f>IMAGE("https://mitra.stanford.edu/kundaje/oak/projects/neuro-variants/variant_position/credible/roussos_2024/variant_figures/roussos_2024.childhood.GLU/rs478294_profile_position.png",4,220,900)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-0.039535313</v>
      </c>
      <c r="G585" t="n">
        <v>0.2556404419379416</v>
      </c>
      <c r="H585" t="n">
        <v>0.0183033290249413</v>
      </c>
      <c r="I585" t="n">
        <v>0.1376701544721258</v>
      </c>
      <c r="J585" t="n">
        <v>0.7090154223371485</v>
      </c>
      <c r="K585" t="n">
        <v>0.0142347320928076</v>
      </c>
      <c r="L585" t="b">
        <v>0</v>
      </c>
      <c r="M585" t="b">
        <v>0</v>
      </c>
      <c r="N585" t="inlineStr">
        <is>
          <t>ref</t>
        </is>
      </c>
      <c r="O585" t="n">
        <v>85</v>
      </c>
      <c r="P585" t="n">
        <v>0.00509</v>
      </c>
      <c r="Q585" t="n">
        <v>5</v>
      </c>
      <c r="R585" t="n">
        <v>0.002686</v>
      </c>
      <c r="S585">
        <f>IMAGE("https://mitra.stanford.edu/kundaje/oak/projects/neuro-variants/variant_position/credible/roussos_2024/variant_figures/roussos_2024.childhood.GLU/rs540741_count_position.png",4,220,900)</f>
        <v/>
      </c>
      <c r="T585">
        <f>IMAGE("https://mitra.stanford.edu/kundaje/oak/projects/neuro-variants/variant_position/credible/roussos_2024/variant_figures/roussos_2024.childhood.GLU/rs540741_profile_position.png",4,220,900)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-0.0620512675999999</v>
      </c>
      <c r="G586" t="n">
        <v>0.1308396254199995</v>
      </c>
      <c r="H586" t="n">
        <v>0.0148541017969398</v>
      </c>
      <c r="I586" t="n">
        <v>0.2518417839575846</v>
      </c>
      <c r="J586" t="n">
        <v>0.7205765090092411</v>
      </c>
      <c r="K586" t="n">
        <v>0.0131758118632093</v>
      </c>
      <c r="L586" t="b">
        <v>0</v>
      </c>
      <c r="M586" t="b">
        <v>0</v>
      </c>
      <c r="N586" t="inlineStr">
        <is>
          <t>ref</t>
        </is>
      </c>
      <c r="O586" t="n">
        <v>100</v>
      </c>
      <c r="P586" t="n">
        <v>0.0228</v>
      </c>
      <c r="Q586" t="n">
        <v>90</v>
      </c>
      <c r="R586" t="n">
        <v>0.1318</v>
      </c>
      <c r="S586">
        <f>IMAGE("https://mitra.stanford.edu/kundaje/oak/projects/neuro-variants/variant_position/credible/roussos_2024/variant_figures/roussos_2024.childhood.GLU/rs562664_count_position.png",4,220,900)</f>
        <v/>
      </c>
      <c r="T586">
        <f>IMAGE("https://mitra.stanford.edu/kundaje/oak/projects/neuro-variants/variant_position/credible/roussos_2024/variant_figures/roussos_2024.childhood.GLU/rs562664_profile_position.png",4,220,900)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0.0396479457999999</v>
      </c>
      <c r="G587" t="n">
        <v>0.2499468429603098</v>
      </c>
      <c r="H587" t="n">
        <v>0.009411076152691</v>
      </c>
      <c r="I587" t="n">
        <v>0.7173939459400083</v>
      </c>
      <c r="J587" t="n">
        <v>0.0190157314020212</v>
      </c>
      <c r="K587" t="n">
        <v>0.496638300984652</v>
      </c>
      <c r="L587" t="b">
        <v>0</v>
      </c>
      <c r="M587" t="b">
        <v>0</v>
      </c>
      <c r="N587" t="inlineStr">
        <is>
          <t>alt</t>
        </is>
      </c>
      <c r="O587" t="n">
        <v>35</v>
      </c>
      <c r="P587" t="n">
        <v>0.01223</v>
      </c>
      <c r="Q587" t="n">
        <v>-80</v>
      </c>
      <c r="R587" t="n">
        <v>0.01721</v>
      </c>
      <c r="S587">
        <f>IMAGE("https://mitra.stanford.edu/kundaje/oak/projects/neuro-variants/variant_position/credible/roussos_2024/variant_figures/roussos_2024.childhood.GLU/rs4930355_count_position.png",4,220,900)</f>
        <v/>
      </c>
      <c r="T587">
        <f>IMAGE("https://mitra.stanford.edu/kundaje/oak/projects/neuro-variants/variant_position/credible/roussos_2024/variant_figures/roussos_2024.childhood.GLU/rs4930355_profile_position.png",4,220,900)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-0.00175535728</v>
      </c>
      <c r="G588" t="n">
        <v>0.7977287563706437</v>
      </c>
      <c r="H588" t="n">
        <v>0.0213181420311687</v>
      </c>
      <c r="I588" t="n">
        <v>0.0806888468936256</v>
      </c>
      <c r="J588" t="n">
        <v>0.0812294600636673</v>
      </c>
      <c r="K588" t="n">
        <v>0.2819055590863551</v>
      </c>
      <c r="L588" t="b">
        <v>0</v>
      </c>
      <c r="M588" t="b">
        <v>0</v>
      </c>
      <c r="N588" t="inlineStr">
        <is>
          <t>ref</t>
        </is>
      </c>
      <c r="O588" t="n">
        <v>-90</v>
      </c>
      <c r="P588" t="n">
        <v>0.01892</v>
      </c>
      <c r="Q588" t="n">
        <v>70</v>
      </c>
      <c r="R588" t="n">
        <v>0.07580000000000001</v>
      </c>
      <c r="S588">
        <f>IMAGE("https://mitra.stanford.edu/kundaje/oak/projects/neuro-variants/variant_position/credible/roussos_2024/variant_figures/roussos_2024.childhood.GLU/rs11227649_count_position.png",4,220,900)</f>
        <v/>
      </c>
      <c r="T588">
        <f>IMAGE("https://mitra.stanford.edu/kundaje/oak/projects/neuro-variants/variant_position/credible/roussos_2024/variant_figures/roussos_2024.childhood.GLU/rs11227649_profile_position.png",4,220,900)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-0.1471102799999999</v>
      </c>
      <c r="G589" t="n">
        <v>0.0172606498431565</v>
      </c>
      <c r="H589" t="n">
        <v>0.0185146403373203</v>
      </c>
      <c r="I589" t="n">
        <v>0.1265292294678023</v>
      </c>
      <c r="J589" t="n">
        <v>0.141753634087795</v>
      </c>
      <c r="K589" t="n">
        <v>0.2071769986817941</v>
      </c>
      <c r="L589" t="b">
        <v>1</v>
      </c>
      <c r="M589" t="b">
        <v>0</v>
      </c>
      <c r="N589" t="inlineStr">
        <is>
          <t>ref</t>
        </is>
      </c>
      <c r="O589" t="n">
        <v>-100</v>
      </c>
      <c r="P589" t="n">
        <v>0.002562</v>
      </c>
      <c r="Q589" t="n">
        <v>-20</v>
      </c>
      <c r="R589" t="n">
        <v>0.03522</v>
      </c>
      <c r="S589">
        <f>IMAGE("https://mitra.stanford.edu/kundaje/oak/projects/neuro-variants/variant_position/credible/roussos_2024/variant_figures/roussos_2024.childhood.GLU/rs1253435_count_position.png",4,220,900)</f>
        <v/>
      </c>
      <c r="T589">
        <f>IMAGE("https://mitra.stanford.edu/kundaje/oak/projects/neuro-variants/variant_position/credible/roussos_2024/variant_figures/roussos_2024.childhood.GLU/rs1253435_profile_position.png",4,220,900)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-0.075978396</v>
      </c>
      <c r="G590" t="n">
        <v>0.088446292071356</v>
      </c>
      <c r="H590" t="n">
        <v>0.0215625725818603</v>
      </c>
      <c r="I590" t="n">
        <v>0.0777259887130775</v>
      </c>
      <c r="J590" t="n">
        <v>0.6180164216469037</v>
      </c>
      <c r="K590" t="n">
        <v>0.0238619319518802</v>
      </c>
      <c r="L590" t="b">
        <v>0</v>
      </c>
      <c r="M590" t="b">
        <v>0</v>
      </c>
      <c r="N590" t="inlineStr">
        <is>
          <t>ref</t>
        </is>
      </c>
      <c r="O590" t="n">
        <v>100</v>
      </c>
      <c r="P590" t="n">
        <v>0.002941</v>
      </c>
      <c r="Q590" t="n">
        <v>5</v>
      </c>
      <c r="R590" t="n">
        <v>0.01007</v>
      </c>
      <c r="S590">
        <f>IMAGE("https://mitra.stanford.edu/kundaje/oak/projects/neuro-variants/variant_position/credible/roussos_2024/variant_figures/roussos_2024.childhood.GLU/rs112437913_count_position.png",4,220,900)</f>
        <v/>
      </c>
      <c r="T590">
        <f>IMAGE("https://mitra.stanford.edu/kundaje/oak/projects/neuro-variants/variant_position/credible/roussos_2024/variant_figures/roussos_2024.childhood.GLU/rs112437913_profile_position.png",4,220,900)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0.155060686</v>
      </c>
      <c r="G591" t="n">
        <v>0.0149122073813462</v>
      </c>
      <c r="H591" t="n">
        <v>0.0170672893341818</v>
      </c>
      <c r="I591" t="n">
        <v>0.168552852167567</v>
      </c>
      <c r="J591" t="n">
        <v>0.0124687071816373</v>
      </c>
      <c r="K591" t="n">
        <v>0.5573956681695675</v>
      </c>
      <c r="L591" t="b">
        <v>1</v>
      </c>
      <c r="M591" t="b">
        <v>0</v>
      </c>
      <c r="N591" t="inlineStr">
        <is>
          <t>alt</t>
        </is>
      </c>
      <c r="O591" t="n">
        <v>100</v>
      </c>
      <c r="P591" t="n">
        <v>0.007557</v>
      </c>
      <c r="Q591" t="n">
        <v>85</v>
      </c>
      <c r="R591" t="n">
        <v>0.1494</v>
      </c>
      <c r="S591">
        <f>IMAGE("https://mitra.stanford.edu/kundaje/oak/projects/neuro-variants/variant_position/credible/roussos_2024/variant_figures/roussos_2024.childhood.GLU/rs1893846_count_position.png",4,220,900)</f>
        <v/>
      </c>
      <c r="T591">
        <f>IMAGE("https://mitra.stanford.edu/kundaje/oak/projects/neuro-variants/variant_position/credible/roussos_2024/variant_figures/roussos_2024.childhood.GLU/rs1893846_profile_position.png",4,220,900)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-0.004427044676</v>
      </c>
      <c r="G592" t="n">
        <v>0.8290841377819683</v>
      </c>
      <c r="H592" t="n">
        <v>0.0240897052144493</v>
      </c>
      <c r="I592" t="n">
        <v>0.0509335529310947</v>
      </c>
      <c r="J592" t="n">
        <v>0.0401444363171829</v>
      </c>
      <c r="K592" t="n">
        <v>0.3851778908318283</v>
      </c>
      <c r="L592" t="b">
        <v>0</v>
      </c>
      <c r="M592" t="b">
        <v>0</v>
      </c>
      <c r="N592" t="inlineStr">
        <is>
          <t>ref</t>
        </is>
      </c>
      <c r="O592" t="n">
        <v>100</v>
      </c>
      <c r="P592" t="n">
        <v>0.0282</v>
      </c>
      <c r="Q592" t="n">
        <v>100</v>
      </c>
      <c r="R592" t="n">
        <v>0.2317</v>
      </c>
      <c r="S592">
        <f>IMAGE("https://mitra.stanford.edu/kundaje/oak/projects/neuro-variants/variant_position/credible/roussos_2024/variant_figures/roussos_2024.childhood.GLU/rs2457246_count_position.png",4,220,900)</f>
        <v/>
      </c>
      <c r="T592">
        <f>IMAGE("https://mitra.stanford.edu/kundaje/oak/projects/neuro-variants/variant_position/credible/roussos_2024/variant_figures/roussos_2024.childhood.GLU/rs2457246_profile_position.png",4,220,900)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-0.0393612508</v>
      </c>
      <c r="G593" t="n">
        <v>0.267502208215097</v>
      </c>
      <c r="H593" t="n">
        <v>0.0109369460149839</v>
      </c>
      <c r="I593" t="n">
        <v>0.5568763969475931</v>
      </c>
      <c r="J593" t="n">
        <v>0.0506732463144013</v>
      </c>
      <c r="K593" t="n">
        <v>0.3544319745725158</v>
      </c>
      <c r="L593" t="b">
        <v>0</v>
      </c>
      <c r="M593" t="b">
        <v>0</v>
      </c>
      <c r="N593" t="inlineStr">
        <is>
          <t>ref</t>
        </is>
      </c>
      <c r="O593" t="n">
        <v>10</v>
      </c>
      <c r="P593" t="n">
        <v>0.000613</v>
      </c>
      <c r="Q593" t="n">
        <v>100</v>
      </c>
      <c r="R593" t="n">
        <v>0.10614</v>
      </c>
      <c r="S593">
        <f>IMAGE("https://mitra.stanford.edu/kundaje/oak/projects/neuro-variants/variant_position/credible/roussos_2024/variant_figures/roussos_2024.childhood.GLU/rs591699_count_position.png",4,220,900)</f>
        <v/>
      </c>
      <c r="T593">
        <f>IMAGE("https://mitra.stanford.edu/kundaje/oak/projects/neuro-variants/variant_position/credible/roussos_2024/variant_figures/roussos_2024.childhood.GLU/rs591699_profile_position.png",4,220,900)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0.1044783386</v>
      </c>
      <c r="G594" t="n">
        <v>0.0397850731464116</v>
      </c>
      <c r="H594" t="n">
        <v>0.0141719456931785</v>
      </c>
      <c r="I594" t="n">
        <v>0.3006249200004005</v>
      </c>
      <c r="J594" t="n">
        <v>0.0380675203725261</v>
      </c>
      <c r="K594" t="n">
        <v>0.396275268007296</v>
      </c>
      <c r="L594" t="b">
        <v>0</v>
      </c>
      <c r="M594" t="b">
        <v>0</v>
      </c>
      <c r="N594" t="inlineStr">
        <is>
          <t>alt</t>
        </is>
      </c>
      <c r="O594" t="n">
        <v>80</v>
      </c>
      <c r="P594" t="n">
        <v>0.00953</v>
      </c>
      <c r="Q594" t="n">
        <v>55</v>
      </c>
      <c r="R594" t="n">
        <v>0.079</v>
      </c>
      <c r="S594">
        <f>IMAGE("https://mitra.stanford.edu/kundaje/oak/projects/neuro-variants/variant_position/credible/roussos_2024/variant_figures/roussos_2024.childhood.GLU/rs12789884_count_position.png",4,220,900)</f>
        <v/>
      </c>
      <c r="T594">
        <f>IMAGE("https://mitra.stanford.edu/kundaje/oak/projects/neuro-variants/variant_position/credible/roussos_2024/variant_figures/roussos_2024.childhood.GLU/rs12789884_profile_position.png",4,220,900)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-0.073104008</v>
      </c>
      <c r="G595" t="n">
        <v>0.0930375548789648</v>
      </c>
      <c r="H595" t="n">
        <v>0.0341178722068124</v>
      </c>
      <c r="I595" t="n">
        <v>0.0124433064807384</v>
      </c>
      <c r="J595" t="n">
        <v>0.0070332862867915</v>
      </c>
      <c r="K595" t="n">
        <v>0.6356029535742794</v>
      </c>
      <c r="L595" t="b">
        <v>0</v>
      </c>
      <c r="M595" t="b">
        <v>0</v>
      </c>
      <c r="N595" t="inlineStr">
        <is>
          <t>ref</t>
        </is>
      </c>
      <c r="O595" t="n">
        <v>85</v>
      </c>
      <c r="P595" t="n">
        <v>0.00882</v>
      </c>
      <c r="Q595" t="n">
        <v>85</v>
      </c>
      <c r="R595" t="n">
        <v>0.05396</v>
      </c>
      <c r="S595">
        <f>IMAGE("https://mitra.stanford.edu/kundaje/oak/projects/neuro-variants/variant_position/credible/roussos_2024/variant_figures/roussos_2024.childhood.GLU/rs71464734_count_position.png",4,220,900)</f>
        <v/>
      </c>
      <c r="T595">
        <f>IMAGE("https://mitra.stanford.edu/kundaje/oak/projects/neuro-variants/variant_position/credible/roussos_2024/variant_figures/roussos_2024.childhood.GLU/rs71464734_profile_position.png",4,220,900)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0.0041952791399999</v>
      </c>
      <c r="G596" t="n">
        <v>0.7529896302825249</v>
      </c>
      <c r="H596" t="n">
        <v>0.0235684221004776</v>
      </c>
      <c r="I596" t="n">
        <v>0.0555477528670894</v>
      </c>
      <c r="J596" t="n">
        <v>0.0148176002142849</v>
      </c>
      <c r="K596" t="n">
        <v>0.532035822230513</v>
      </c>
      <c r="L596" t="b">
        <v>0</v>
      </c>
      <c r="M596" t="b">
        <v>0</v>
      </c>
      <c r="N596" t="inlineStr">
        <is>
          <t>alt</t>
        </is>
      </c>
      <c r="O596" t="n">
        <v>5</v>
      </c>
      <c r="P596" t="n">
        <v>0.001923</v>
      </c>
      <c r="Q596" t="n">
        <v>60</v>
      </c>
      <c r="R596" t="n">
        <v>0.01123</v>
      </c>
      <c r="S596">
        <f>IMAGE("https://mitra.stanford.edu/kundaje/oak/projects/neuro-variants/variant_position/credible/roussos_2024/variant_figures/roussos_2024.childhood.GLU/rs722354_count_position.png",4,220,900)</f>
        <v/>
      </c>
      <c r="T596">
        <f>IMAGE("https://mitra.stanford.edu/kundaje/oak/projects/neuro-variants/variant_position/credible/roussos_2024/variant_figures/roussos_2024.childhood.GLU/rs722354_profile_position.png",4,220,900)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-0.0625422764</v>
      </c>
      <c r="G597" t="n">
        <v>0.125280716958588</v>
      </c>
      <c r="H597" t="n">
        <v>0.0113910563713912</v>
      </c>
      <c r="I597" t="n">
        <v>0.5157998420832309</v>
      </c>
      <c r="J597" t="n">
        <v>0.0299782624372855</v>
      </c>
      <c r="K597" t="n">
        <v>0.4404496201370676</v>
      </c>
      <c r="L597" t="b">
        <v>0</v>
      </c>
      <c r="M597" t="b">
        <v>0</v>
      </c>
      <c r="N597" t="inlineStr">
        <is>
          <t>ref</t>
        </is>
      </c>
      <c r="O597" t="n">
        <v>95</v>
      </c>
      <c r="P597" t="n">
        <v>0.008699999999999999</v>
      </c>
      <c r="Q597" t="n">
        <v>45</v>
      </c>
      <c r="R597" t="n">
        <v>0.042</v>
      </c>
      <c r="S597">
        <f>IMAGE("https://mitra.stanford.edu/kundaje/oak/projects/neuro-variants/variant_position/credible/roussos_2024/variant_figures/roussos_2024.childhood.GLU/rs34793132_count_position.png",4,220,900)</f>
        <v/>
      </c>
      <c r="T597">
        <f>IMAGE("https://mitra.stanford.edu/kundaje/oak/projects/neuro-variants/variant_position/credible/roussos_2024/variant_figures/roussos_2024.childhood.GLU/rs34793132_profile_position.png",4,220,900)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0.203330929</v>
      </c>
      <c r="G598" t="n">
        <v>0.0079775814947629</v>
      </c>
      <c r="H598" t="n">
        <v>0.0293785223779901</v>
      </c>
      <c r="I598" t="n">
        <v>0.0269621756148007</v>
      </c>
      <c r="J598" t="n">
        <v>0.0461279322529798</v>
      </c>
      <c r="K598" t="n">
        <v>0.3648385097310638</v>
      </c>
      <c r="L598" t="b">
        <v>1</v>
      </c>
      <c r="M598" t="b">
        <v>1</v>
      </c>
      <c r="N598" t="inlineStr">
        <is>
          <t>alt</t>
        </is>
      </c>
      <c r="O598" t="n">
        <v>-100</v>
      </c>
      <c r="P598" t="n">
        <v>0.007446</v>
      </c>
      <c r="Q598" t="n">
        <v>-10</v>
      </c>
      <c r="R598" t="n">
        <v>0.008789999999999999</v>
      </c>
      <c r="S598">
        <f>IMAGE("https://mitra.stanford.edu/kundaje/oak/projects/neuro-variants/variant_position/credible/roussos_2024/variant_figures/roussos_2024.childhood.GLU/rs59832858_count_position.png",4,220,900)</f>
        <v/>
      </c>
      <c r="T598">
        <f>IMAGE("https://mitra.stanford.edu/kundaje/oak/projects/neuro-variants/variant_position/credible/roussos_2024/variant_figures/roussos_2024.childhood.GLU/rs59832858_profile_position.png",4,220,900)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-0.359785126</v>
      </c>
      <c r="G599" t="n">
        <v>0.0011679544114579</v>
      </c>
      <c r="H599" t="n">
        <v>0.0589756326035237</v>
      </c>
      <c r="I599" t="n">
        <v>0.0019857001651478</v>
      </c>
      <c r="J599" t="n">
        <v>0.030000927194618</v>
      </c>
      <c r="K599" t="n">
        <v>0.4367465266216445</v>
      </c>
      <c r="L599" t="b">
        <v>1</v>
      </c>
      <c r="M599" t="b">
        <v>1</v>
      </c>
      <c r="N599" t="inlineStr">
        <is>
          <t>ref</t>
        </is>
      </c>
      <c r="O599" t="n">
        <v>85</v>
      </c>
      <c r="P599" t="n">
        <v>0.01324</v>
      </c>
      <c r="Q599" t="n">
        <v>80</v>
      </c>
      <c r="R599" t="n">
        <v>0.0327</v>
      </c>
      <c r="S599">
        <f>IMAGE("https://mitra.stanford.edu/kundaje/oak/projects/neuro-variants/variant_position/credible/roussos_2024/variant_figures/roussos_2024.childhood.GLU/rs7927714_count_position.png",4,220,900)</f>
        <v/>
      </c>
      <c r="T599">
        <f>IMAGE("https://mitra.stanford.edu/kundaje/oak/projects/neuro-variants/variant_position/credible/roussos_2024/variant_figures/roussos_2024.childhood.GLU/rs7927714_profile_position.png",4,220,900)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0.092985057</v>
      </c>
      <c r="G600" t="n">
        <v>0.0516145693042534</v>
      </c>
      <c r="H600" t="n">
        <v>0.0257486656688843</v>
      </c>
      <c r="I600" t="n">
        <v>0.0385954093657574</v>
      </c>
      <c r="J600" t="n">
        <v>0.1500396633253319</v>
      </c>
      <c r="K600" t="n">
        <v>0.1939564594234084</v>
      </c>
      <c r="L600" t="b">
        <v>0</v>
      </c>
      <c r="M600" t="b">
        <v>0</v>
      </c>
      <c r="N600" t="inlineStr">
        <is>
          <t>alt</t>
        </is>
      </c>
      <c r="O600" t="n">
        <v>35</v>
      </c>
      <c r="P600" t="n">
        <v>0.01788</v>
      </c>
      <c r="Q600" t="n">
        <v>35</v>
      </c>
      <c r="R600" t="n">
        <v>0.0166</v>
      </c>
      <c r="S600">
        <f>IMAGE("https://mitra.stanford.edu/kundaje/oak/projects/neuro-variants/variant_position/credible/roussos_2024/variant_figures/roussos_2024.childhood.GLU/rs11226433_count_position.png",4,220,900)</f>
        <v/>
      </c>
      <c r="T600">
        <f>IMAGE("https://mitra.stanford.edu/kundaje/oak/projects/neuro-variants/variant_position/credible/roussos_2024/variant_figures/roussos_2024.childhood.GLU/rs11226433_profile_position.png",4,220,900)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0.08673927299999989</v>
      </c>
      <c r="G601" t="n">
        <v>0.0615427158374309</v>
      </c>
      <c r="H601" t="n">
        <v>0.0294831755253577</v>
      </c>
      <c r="I601" t="n">
        <v>0.0248984011722536</v>
      </c>
      <c r="J601" t="n">
        <v>0.2913739994024745</v>
      </c>
      <c r="K601" t="n">
        <v>0.1013625123517939</v>
      </c>
      <c r="L601" t="b">
        <v>0</v>
      </c>
      <c r="M601" t="b">
        <v>0</v>
      </c>
      <c r="N601" t="inlineStr">
        <is>
          <t>alt</t>
        </is>
      </c>
      <c r="O601" t="n">
        <v>-100</v>
      </c>
      <c r="P601" t="n">
        <v>0.05002</v>
      </c>
      <c r="Q601" t="n">
        <v>-100</v>
      </c>
      <c r="R601" t="n">
        <v>0.3127</v>
      </c>
      <c r="S601">
        <f>IMAGE("https://mitra.stanford.edu/kundaje/oak/projects/neuro-variants/variant_position/credible/roussos_2024/variant_figures/roussos_2024.childhood.GLU/rs10895711_count_position.png",4,220,900)</f>
        <v/>
      </c>
      <c r="T601">
        <f>IMAGE("https://mitra.stanford.edu/kundaje/oak/projects/neuro-variants/variant_position/credible/roussos_2024/variant_figures/roussos_2024.childhood.GLU/rs10895711_profile_position.png",4,220,900)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-0.0781492546</v>
      </c>
      <c r="G602" t="n">
        <v>0.07854583380141431</v>
      </c>
      <c r="H602" t="n">
        <v>0.009533742521231001</v>
      </c>
      <c r="I602" t="n">
        <v>0.7067712944901904</v>
      </c>
      <c r="J602" t="n">
        <v>0.0079089700928224</v>
      </c>
      <c r="K602" t="n">
        <v>0.644163294564259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0.01973</v>
      </c>
      <c r="Q602" t="n">
        <v>-25</v>
      </c>
      <c r="R602" t="n">
        <v>0.03418</v>
      </c>
      <c r="S602">
        <f>IMAGE("https://mitra.stanford.edu/kundaje/oak/projects/neuro-variants/variant_position/credible/roussos_2024/variant_figures/roussos_2024.childhood.GLU/rs12418899_count_position.png",4,220,900)</f>
        <v/>
      </c>
      <c r="T602">
        <f>IMAGE("https://mitra.stanford.edu/kundaje/oak/projects/neuro-variants/variant_position/credible/roussos_2024/variant_figures/roussos_2024.childhood.GLU/rs12418899_profile_position.png",4,220,900)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0.0221182737</v>
      </c>
      <c r="G603" t="n">
        <v>0.4294615802978969</v>
      </c>
      <c r="H603" t="n">
        <v>0.0226512766652595</v>
      </c>
      <c r="I603" t="n">
        <v>0.0648912325031487</v>
      </c>
      <c r="J603" t="n">
        <v>0.122664757332564</v>
      </c>
      <c r="K603" t="n">
        <v>0.2154505308681372</v>
      </c>
      <c r="L603" t="b">
        <v>0</v>
      </c>
      <c r="M603" t="b">
        <v>0</v>
      </c>
      <c r="N603" t="inlineStr">
        <is>
          <t>alt</t>
        </is>
      </c>
      <c r="O603" t="n">
        <v>-100</v>
      </c>
      <c r="P603" t="n">
        <v>0.0776</v>
      </c>
      <c r="Q603" t="n">
        <v>-100</v>
      </c>
      <c r="R603" t="n">
        <v>0.295</v>
      </c>
      <c r="S603">
        <f>IMAGE("https://mitra.stanford.edu/kundaje/oak/projects/neuro-variants/variant_position/credible/roussos_2024/variant_figures/roussos_2024.childhood.GLU/rs16894_count_position.png",4,220,900)</f>
        <v/>
      </c>
      <c r="T603">
        <f>IMAGE("https://mitra.stanford.edu/kundaje/oak/projects/neuro-variants/variant_position/credible/roussos_2024/variant_figures/roussos_2024.childhood.GLU/rs16894_profile_position.png",4,220,900)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-0.0484883505999999</v>
      </c>
      <c r="G604" t="n">
        <v>0.1879810652167942</v>
      </c>
      <c r="H604" t="n">
        <v>0.0098363744594352</v>
      </c>
      <c r="I604" t="n">
        <v>0.6730677975769017</v>
      </c>
      <c r="J604" t="n">
        <v>0.0288491454356269</v>
      </c>
      <c r="K604" t="n">
        <v>0.4348260659307053</v>
      </c>
      <c r="L604" t="b">
        <v>0</v>
      </c>
      <c r="M604" t="b">
        <v>0</v>
      </c>
      <c r="N604" t="inlineStr">
        <is>
          <t>ref</t>
        </is>
      </c>
      <c r="O604" t="n">
        <v>80</v>
      </c>
      <c r="P604" t="n">
        <v>0.02603</v>
      </c>
      <c r="Q604" t="n">
        <v>-65</v>
      </c>
      <c r="R604" t="n">
        <v>0.05096</v>
      </c>
      <c r="S604">
        <f>IMAGE("https://mitra.stanford.edu/kundaje/oak/projects/neuro-variants/variant_position/credible/roussos_2024/variant_figures/roussos_2024.childhood.GLU/rs10895715_count_position.png",4,220,900)</f>
        <v/>
      </c>
      <c r="T604">
        <f>IMAGE("https://mitra.stanford.edu/kundaje/oak/projects/neuro-variants/variant_position/credible/roussos_2024/variant_figures/roussos_2024.childhood.GLU/rs10895715_profile_position.png",4,220,900)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-0.173819072</v>
      </c>
      <c r="G605" t="n">
        <v>0.0120480221328271</v>
      </c>
      <c r="H605" t="n">
        <v>0.0329916398075207</v>
      </c>
      <c r="I605" t="n">
        <v>0.0151623458607917</v>
      </c>
      <c r="J605" t="n">
        <v>0.0013866710622559</v>
      </c>
      <c r="K605" t="n">
        <v>0.8105568721403856</v>
      </c>
      <c r="L605" t="b">
        <v>1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85</v>
      </c>
      <c r="R605" t="n">
        <v>0.04944</v>
      </c>
      <c r="S605">
        <f>IMAGE("https://mitra.stanford.edu/kundaje/oak/projects/neuro-variants/variant_position/credible/roussos_2024/variant_figures/roussos_2024.childhood.GLU/rs1147010_count_position.png",4,220,900)</f>
        <v/>
      </c>
      <c r="T605">
        <f>IMAGE("https://mitra.stanford.edu/kundaje/oak/projects/neuro-variants/variant_position/credible/roussos_2024/variant_figures/roussos_2024.childhood.GLU/rs1147010_profile_position.png",4,220,900)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0.0239219304</v>
      </c>
      <c r="G606" t="n">
        <v>0.4043885459879068</v>
      </c>
      <c r="H606" t="n">
        <v>0.0325990038928767</v>
      </c>
      <c r="I606" t="n">
        <v>0.0157896814800883</v>
      </c>
      <c r="J606" t="n">
        <v>0.1530077163196554</v>
      </c>
      <c r="K606" t="n">
        <v>0.1830271834006728</v>
      </c>
      <c r="L606" t="b">
        <v>1</v>
      </c>
      <c r="M606" t="b">
        <v>0</v>
      </c>
      <c r="N606" t="inlineStr">
        <is>
          <t>alt</t>
        </is>
      </c>
      <c r="O606" t="n">
        <v>85</v>
      </c>
      <c r="P606" t="n">
        <v>0.0245</v>
      </c>
      <c r="Q606" t="n">
        <v>100</v>
      </c>
      <c r="R606" t="n">
        <v>0.401</v>
      </c>
      <c r="S606">
        <f>IMAGE("https://mitra.stanford.edu/kundaje/oak/projects/neuro-variants/variant_position/credible/roussos_2024/variant_figures/roussos_2024.childhood.GLU/rs72972953_count_position.png",4,220,900)</f>
        <v/>
      </c>
      <c r="T606">
        <f>IMAGE("https://mitra.stanford.edu/kundaje/oak/projects/neuro-variants/variant_position/credible/roussos_2024/variant_figures/roussos_2024.childhood.GLU/rs72972953_profile_position.png",4,220,900)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0.0006720005200000001</v>
      </c>
      <c r="G607" t="n">
        <v>0.9470692064053772</v>
      </c>
      <c r="H607" t="n">
        <v>0.018566890134562</v>
      </c>
      <c r="I607" t="n">
        <v>0.1264208314112002</v>
      </c>
      <c r="J607" t="n">
        <v>0.000315246170171</v>
      </c>
      <c r="K607" t="n">
        <v>0.8966145829182268</v>
      </c>
      <c r="L607" t="b">
        <v>0</v>
      </c>
      <c r="M607" t="b">
        <v>0</v>
      </c>
      <c r="N607" t="inlineStr">
        <is>
          <t>alt</t>
        </is>
      </c>
      <c r="O607" t="n">
        <v>-100</v>
      </c>
      <c r="P607" t="n">
        <v>0.02272</v>
      </c>
      <c r="Q607" t="n">
        <v>-100</v>
      </c>
      <c r="R607" t="n">
        <v>0.112</v>
      </c>
      <c r="S607">
        <f>IMAGE("https://mitra.stanford.edu/kundaje/oak/projects/neuro-variants/variant_position/credible/roussos_2024/variant_figures/roussos_2024.childhood.GLU/rs6591097_count_position.png",4,220,900)</f>
        <v/>
      </c>
      <c r="T607">
        <f>IMAGE("https://mitra.stanford.edu/kundaje/oak/projects/neuro-variants/variant_position/credible/roussos_2024/variant_figures/roussos_2024.childhood.GLU/rs6591097_profile_position.png",4,220,900)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-0.01118303474</v>
      </c>
      <c r="G608" t="n">
        <v>0.6603696151722629</v>
      </c>
      <c r="H608" t="n">
        <v>0.0092321226777693</v>
      </c>
      <c r="I608" t="n">
        <v>0.7494037551597885</v>
      </c>
      <c r="J608" t="n">
        <v>2.060432484778556e-05</v>
      </c>
      <c r="K608" t="n">
        <v>0.9834907142521224</v>
      </c>
      <c r="L608" t="b">
        <v>0</v>
      </c>
      <c r="M608" t="b">
        <v>0</v>
      </c>
      <c r="N608" t="inlineStr">
        <is>
          <t>ref</t>
        </is>
      </c>
      <c r="O608" t="n">
        <v>0</v>
      </c>
      <c r="P608" t="n">
        <v>0</v>
      </c>
      <c r="Q608" t="n">
        <v>0</v>
      </c>
      <c r="R608" t="n">
        <v>0</v>
      </c>
      <c r="S608">
        <f>IMAGE("https://mitra.stanford.edu/kundaje/oak/projects/neuro-variants/variant_position/credible/roussos_2024/variant_figures/roussos_2024.childhood.GLU/rs1144403_count_position.png",4,220,900)</f>
        <v/>
      </c>
      <c r="T608">
        <f>IMAGE("https://mitra.stanford.edu/kundaje/oak/projects/neuro-variants/variant_position/credible/roussos_2024/variant_figures/roussos_2024.childhood.GLU/rs1144403_profile_position.png",4,220,900)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-0.243954819</v>
      </c>
      <c r="G609" t="n">
        <v>0.0048343929224609</v>
      </c>
      <c r="H609" t="n">
        <v>0.0274194284647106</v>
      </c>
      <c r="I609" t="n">
        <v>0.032428937354016</v>
      </c>
      <c r="J609" t="n">
        <v>0.1695498985237</v>
      </c>
      <c r="K609" t="n">
        <v>0.1723761603577079</v>
      </c>
      <c r="L609" t="b">
        <v>1</v>
      </c>
      <c r="M609" t="b">
        <v>1</v>
      </c>
      <c r="N609" t="inlineStr">
        <is>
          <t>ref</t>
        </is>
      </c>
      <c r="O609" t="n">
        <v>50</v>
      </c>
      <c r="P609" t="n">
        <v>0.002106</v>
      </c>
      <c r="Q609" t="n">
        <v>10</v>
      </c>
      <c r="R609" t="n">
        <v>0.007812</v>
      </c>
      <c r="S609">
        <f>IMAGE("https://mitra.stanford.edu/kundaje/oak/projects/neuro-variants/variant_position/credible/roussos_2024/variant_figures/roussos_2024.childhood.GLU/rs1529338_count_position.png",4,220,900)</f>
        <v/>
      </c>
      <c r="T609">
        <f>IMAGE("https://mitra.stanford.edu/kundaje/oak/projects/neuro-variants/variant_position/credible/roussos_2024/variant_figures/roussos_2024.childhood.GLU/rs1529338_profile_position.png",4,220,900)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0.032573904</v>
      </c>
      <c r="G610" t="n">
        <v>0.3023397294770044</v>
      </c>
      <c r="H610" t="n">
        <v>0.016637062815815</v>
      </c>
      <c r="I610" t="n">
        <v>0.1790221708256829</v>
      </c>
      <c r="J610" t="n">
        <v>0.0305778482903561</v>
      </c>
      <c r="K610" t="n">
        <v>0.4312989942037241</v>
      </c>
      <c r="L610" t="b">
        <v>0</v>
      </c>
      <c r="M610" t="b">
        <v>0</v>
      </c>
      <c r="N610" t="inlineStr">
        <is>
          <t>alt</t>
        </is>
      </c>
      <c r="O610" t="n">
        <v>-100</v>
      </c>
      <c r="P610" t="n">
        <v>0.01898</v>
      </c>
      <c r="Q610" t="n">
        <v>100</v>
      </c>
      <c r="R610" t="n">
        <v>0.1256</v>
      </c>
      <c r="S610">
        <f>IMAGE("https://mitra.stanford.edu/kundaje/oak/projects/neuro-variants/variant_position/credible/roussos_2024/variant_figures/roussos_2024.childhood.GLU/rs4755059_count_position.png",4,220,900)</f>
        <v/>
      </c>
      <c r="T610">
        <f>IMAGE("https://mitra.stanford.edu/kundaje/oak/projects/neuro-variants/variant_position/credible/roussos_2024/variant_figures/roussos_2024.childhood.GLU/rs4755059_profile_position.png",4,220,900)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0.2131675019999999</v>
      </c>
      <c r="G611" t="n">
        <v>0.0062831693522879</v>
      </c>
      <c r="H611" t="n">
        <v>0.024856698414616</v>
      </c>
      <c r="I611" t="n">
        <v>0.0452800511069919</v>
      </c>
      <c r="J611" t="n">
        <v>0.1798757559211678</v>
      </c>
      <c r="K611" t="n">
        <v>0.1650572288362577</v>
      </c>
      <c r="L611" t="b">
        <v>1</v>
      </c>
      <c r="M611" t="b">
        <v>1</v>
      </c>
      <c r="N611" t="inlineStr">
        <is>
          <t>alt</t>
        </is>
      </c>
      <c r="O611" t="n">
        <v>50</v>
      </c>
      <c r="P611" t="n">
        <v>0.00812</v>
      </c>
      <c r="Q611" t="n">
        <v>95</v>
      </c>
      <c r="R611" t="n">
        <v>0.1562</v>
      </c>
      <c r="S611">
        <f>IMAGE("https://mitra.stanford.edu/kundaje/oak/projects/neuro-variants/variant_position/credible/roussos_2024/variant_figures/roussos_2024.childhood.GLU/rs2555136_count_position.png",4,220,900)</f>
        <v/>
      </c>
      <c r="T611">
        <f>IMAGE("https://mitra.stanford.edu/kundaje/oak/projects/neuro-variants/variant_position/credible/roussos_2024/variant_figures/roussos_2024.childhood.GLU/rs2555136_profile_position.png",4,220,900)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0.0053450137</v>
      </c>
      <c r="G612" t="n">
        <v>0.7823271152720251</v>
      </c>
      <c r="H612" t="n">
        <v>0.0269256891612085</v>
      </c>
      <c r="I612" t="n">
        <v>0.0322772656835833</v>
      </c>
      <c r="J612" t="n">
        <v>0.0006923053148855</v>
      </c>
      <c r="K612" t="n">
        <v>0.8488060337185296</v>
      </c>
      <c r="L612" t="b">
        <v>0</v>
      </c>
      <c r="M612" t="b">
        <v>0</v>
      </c>
      <c r="N612" t="inlineStr">
        <is>
          <t>alt</t>
        </is>
      </c>
      <c r="O612" t="n">
        <v>-65</v>
      </c>
      <c r="P612" t="n">
        <v>0.003975</v>
      </c>
      <c r="Q612" t="n">
        <v>-60</v>
      </c>
      <c r="R612" t="n">
        <v>0.01868</v>
      </c>
      <c r="S612">
        <f>IMAGE("https://mitra.stanford.edu/kundaje/oak/projects/neuro-variants/variant_position/credible/roussos_2024/variant_figures/roussos_2024.childhood.GLU/rs7131576_count_position.png",4,220,900)</f>
        <v/>
      </c>
      <c r="T612">
        <f>IMAGE("https://mitra.stanford.edu/kundaje/oak/projects/neuro-variants/variant_position/credible/roussos_2024/variant_figures/roussos_2024.childhood.GLU/rs7131576_profile_position.png",4,220,900)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-0.0363653594</v>
      </c>
      <c r="G613" t="n">
        <v>0.2749463335482671</v>
      </c>
      <c r="H613" t="n">
        <v>0.0099870487230454</v>
      </c>
      <c r="I613" t="n">
        <v>0.6474480451021608</v>
      </c>
      <c r="J613" t="n">
        <v>0.012155521443951</v>
      </c>
      <c r="K613" t="n">
        <v>0.5602381241685294</v>
      </c>
      <c r="L613" t="b">
        <v>0</v>
      </c>
      <c r="M613" t="b">
        <v>0</v>
      </c>
      <c r="N613" t="inlineStr">
        <is>
          <t>ref</t>
        </is>
      </c>
      <c r="O613" t="n">
        <v>100</v>
      </c>
      <c r="P613" t="n">
        <v>0.01359</v>
      </c>
      <c r="Q613" t="n">
        <v>-95</v>
      </c>
      <c r="R613" t="n">
        <v>0.0663</v>
      </c>
      <c r="S613">
        <f>IMAGE("https://mitra.stanford.edu/kundaje/oak/projects/neuro-variants/variant_position/credible/roussos_2024/variant_figures/roussos_2024.childhood.GLU/rs1030395_count_position.png",4,220,900)</f>
        <v/>
      </c>
      <c r="T613">
        <f>IMAGE("https://mitra.stanford.edu/kundaje/oak/projects/neuro-variants/variant_position/credible/roussos_2024/variant_figures/roussos_2024.childhood.GLU/rs1030395_profile_position.png",4,220,900)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-0.01649362312</v>
      </c>
      <c r="G614" t="n">
        <v>0.5200043530621138</v>
      </c>
      <c r="H614" t="n">
        <v>0.0294929117849112</v>
      </c>
      <c r="I614" t="n">
        <v>0.0229359235669136</v>
      </c>
      <c r="J614" t="n">
        <v>0.0101465997712919</v>
      </c>
      <c r="K614" t="n">
        <v>0.5834312818016855</v>
      </c>
      <c r="L614" t="b">
        <v>0</v>
      </c>
      <c r="M614" t="b">
        <v>0</v>
      </c>
      <c r="N614" t="inlineStr">
        <is>
          <t>ref</t>
        </is>
      </c>
      <c r="O614" t="n">
        <v>-60</v>
      </c>
      <c r="P614" t="n">
        <v>0.03748</v>
      </c>
      <c r="Q614" t="n">
        <v>45</v>
      </c>
      <c r="R614" t="n">
        <v>0.01193</v>
      </c>
      <c r="S614">
        <f>IMAGE("https://mitra.stanford.edu/kundaje/oak/projects/neuro-variants/variant_position/credible/roussos_2024/variant_figures/roussos_2024.childhood.GLU/rs10895736_count_position.png",4,220,900)</f>
        <v/>
      </c>
      <c r="T614">
        <f>IMAGE("https://mitra.stanford.edu/kundaje/oak/projects/neuro-variants/variant_position/credible/roussos_2024/variant_figures/roussos_2024.childhood.GLU/rs10895736_profile_position.png",4,220,900)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0.00377873018</v>
      </c>
      <c r="G615" t="n">
        <v>0.8357385382337658</v>
      </c>
      <c r="H615" t="n">
        <v>0.0211420923746169</v>
      </c>
      <c r="I615" t="n">
        <v>0.0804303023989567</v>
      </c>
      <c r="J615" t="n">
        <v>0.008962881308786599</v>
      </c>
      <c r="K615" t="n">
        <v>0.6010502177304284</v>
      </c>
      <c r="L615" t="b">
        <v>0</v>
      </c>
      <c r="M615" t="b">
        <v>0</v>
      </c>
      <c r="N615" t="inlineStr">
        <is>
          <t>alt</t>
        </is>
      </c>
      <c r="O615" t="n">
        <v>-100</v>
      </c>
      <c r="P615" t="n">
        <v>0.02557</v>
      </c>
      <c r="Q615" t="n">
        <v>-90</v>
      </c>
      <c r="R615" t="n">
        <v>0.0698</v>
      </c>
      <c r="S615">
        <f>IMAGE("https://mitra.stanford.edu/kundaje/oak/projects/neuro-variants/variant_position/credible/roussos_2024/variant_figures/roussos_2024.childhood.GLU/rs10895737_count_position.png",4,220,900)</f>
        <v/>
      </c>
      <c r="T615">
        <f>IMAGE("https://mitra.stanford.edu/kundaje/oak/projects/neuro-variants/variant_position/credible/roussos_2024/variant_figures/roussos_2024.childhood.GLU/rs10895737_profile_position.png",4,220,900)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-0.0371541654</v>
      </c>
      <c r="G616" t="n">
        <v>0.2797201960719589</v>
      </c>
      <c r="H616" t="n">
        <v>0.0089715568823248</v>
      </c>
      <c r="I616" t="n">
        <v>0.7310063574883748</v>
      </c>
      <c r="J616" t="n">
        <v>0.0141685639815797</v>
      </c>
      <c r="K616" t="n">
        <v>0.540061054217427</v>
      </c>
      <c r="L616" t="b">
        <v>0</v>
      </c>
      <c r="M616" t="b">
        <v>0</v>
      </c>
      <c r="N616" t="inlineStr">
        <is>
          <t>ref</t>
        </is>
      </c>
      <c r="O616" t="n">
        <v>-100</v>
      </c>
      <c r="P616" t="n">
        <v>0.01477</v>
      </c>
      <c r="Q616" t="n">
        <v>50</v>
      </c>
      <c r="R616" t="n">
        <v>0.02176</v>
      </c>
      <c r="S616">
        <f>IMAGE("https://mitra.stanford.edu/kundaje/oak/projects/neuro-variants/variant_position/credible/roussos_2024/variant_figures/roussos_2024.childhood.GLU/rs7947634_count_position.png",4,220,900)</f>
        <v/>
      </c>
      <c r="T616">
        <f>IMAGE("https://mitra.stanford.edu/kundaje/oak/projects/neuro-variants/variant_position/credible/roussos_2024/variant_figures/roussos_2024.childhood.GLU/rs7947634_profile_position.png",4,220,900)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0.06342612340000001</v>
      </c>
      <c r="G617" t="n">
        <v>0.1228055039368965</v>
      </c>
      <c r="H617" t="n">
        <v>0.0138010146369181</v>
      </c>
      <c r="I617" t="n">
        <v>0.3126838647020917</v>
      </c>
      <c r="J617" t="n">
        <v>0.4373731546251558</v>
      </c>
      <c r="K617" t="n">
        <v>0.0552773427900479</v>
      </c>
      <c r="L617" t="b">
        <v>0</v>
      </c>
      <c r="M617" t="b">
        <v>0</v>
      </c>
      <c r="N617" t="inlineStr">
        <is>
          <t>alt</t>
        </is>
      </c>
      <c r="O617" t="n">
        <v>-90</v>
      </c>
      <c r="P617" t="n">
        <v>0.01348</v>
      </c>
      <c r="Q617" t="n">
        <v>-95</v>
      </c>
      <c r="R617" t="n">
        <v>0.2573</v>
      </c>
      <c r="S617">
        <f>IMAGE("https://mitra.stanford.edu/kundaje/oak/projects/neuro-variants/variant_position/credible/roussos_2024/variant_figures/roussos_2024.childhood.GLU/rs12576701_count_position.png",4,220,900)</f>
        <v/>
      </c>
      <c r="T617">
        <f>IMAGE("https://mitra.stanford.edu/kundaje/oak/projects/neuro-variants/variant_position/credible/roussos_2024/variant_figures/roussos_2024.childhood.GLU/rs12576701_profile_position.png",4,220,900)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-0.0476740557999999</v>
      </c>
      <c r="G618" t="n">
        <v>0.2080882351205652</v>
      </c>
      <c r="H618" t="n">
        <v>0.0102790613566379</v>
      </c>
      <c r="I618" t="n">
        <v>0.6164971505454853</v>
      </c>
      <c r="J618" t="n">
        <v>0.1881463319150689</v>
      </c>
      <c r="K618" t="n">
        <v>0.1616731400680854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0.003815</v>
      </c>
      <c r="Q618" t="n">
        <v>0</v>
      </c>
      <c r="R618" t="n">
        <v>0</v>
      </c>
      <c r="S618">
        <f>IMAGE("https://mitra.stanford.edu/kundaje/oak/projects/neuro-variants/variant_position/credible/roussos_2024/variant_figures/roussos_2024.childhood.GLU/rs6589285_count_position.png",4,220,900)</f>
        <v/>
      </c>
      <c r="T618">
        <f>IMAGE("https://mitra.stanford.edu/kundaje/oak/projects/neuro-variants/variant_position/credible/roussos_2024/variant_figures/roussos_2024.childhood.GLU/rs6589285_profile_position.png",4,220,900)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-0.0050166267919999</v>
      </c>
      <c r="G619" t="n">
        <v>0.632157472607478</v>
      </c>
      <c r="H619" t="n">
        <v>0.0197914997127476</v>
      </c>
      <c r="I619" t="n">
        <v>0.1014233129629339</v>
      </c>
      <c r="J619" t="n">
        <v>0.0396159353848372</v>
      </c>
      <c r="K619" t="n">
        <v>0.3929390342620693</v>
      </c>
      <c r="L619" t="b">
        <v>0</v>
      </c>
      <c r="M619" t="b">
        <v>0</v>
      </c>
      <c r="N619" t="inlineStr">
        <is>
          <t>ref</t>
        </is>
      </c>
      <c r="O619" t="n">
        <v>5</v>
      </c>
      <c r="P619" t="n">
        <v>0.002563</v>
      </c>
      <c r="Q619" t="n">
        <v>50</v>
      </c>
      <c r="R619" t="n">
        <v>0.04175</v>
      </c>
      <c r="S619">
        <f>IMAGE("https://mitra.stanford.edu/kundaje/oak/projects/neuro-variants/variant_position/credible/roussos_2024/variant_figures/roussos_2024.childhood.GLU/rs4936065_count_position.png",4,220,900)</f>
        <v/>
      </c>
      <c r="T619">
        <f>IMAGE("https://mitra.stanford.edu/kundaje/oak/projects/neuro-variants/variant_position/credible/roussos_2024/variant_figures/roussos_2024.childhood.GLU/rs4936065_profile_position.png",4,220,900)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0.0891716672</v>
      </c>
      <c r="G620" t="n">
        <v>0.0626211135445597</v>
      </c>
      <c r="H620" t="n">
        <v>0.0211317053202578</v>
      </c>
      <c r="I620" t="n">
        <v>0.08946811395397671</v>
      </c>
      <c r="J620" t="n">
        <v>0.207484521000958</v>
      </c>
      <c r="K620" t="n">
        <v>0.1431990894458986</v>
      </c>
      <c r="L620" t="b">
        <v>0</v>
      </c>
      <c r="M620" t="b">
        <v>0</v>
      </c>
      <c r="N620" t="inlineStr">
        <is>
          <t>alt</t>
        </is>
      </c>
      <c r="O620" t="n">
        <v>-35</v>
      </c>
      <c r="P620" t="n">
        <v>0.00702</v>
      </c>
      <c r="Q620" t="n">
        <v>-35</v>
      </c>
      <c r="R620" t="n">
        <v>0.0718</v>
      </c>
      <c r="S620">
        <f>IMAGE("https://mitra.stanford.edu/kundaje/oak/projects/neuro-variants/variant_position/credible/roussos_2024/variant_figures/roussos_2024.childhood.GLU/rs12419862_count_position.png",4,220,900)</f>
        <v/>
      </c>
      <c r="T620">
        <f>IMAGE("https://mitra.stanford.edu/kundaje/oak/projects/neuro-variants/variant_position/credible/roussos_2024/variant_figures/roussos_2024.childhood.GLU/rs12419862_profile_position.png",4,220,900)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-0.0090492348</v>
      </c>
      <c r="G621" t="n">
        <v>0.6350840165129128</v>
      </c>
      <c r="H621" t="n">
        <v>0.0127362762657369</v>
      </c>
      <c r="I621" t="n">
        <v>0.3913516506312902</v>
      </c>
      <c r="J621" t="n">
        <v>0.1742270802641474</v>
      </c>
      <c r="K621" t="n">
        <v>0.1670339217095647</v>
      </c>
      <c r="L621" t="b">
        <v>0</v>
      </c>
      <c r="M621" t="b">
        <v>0</v>
      </c>
      <c r="N621" t="inlineStr">
        <is>
          <t>ref</t>
        </is>
      </c>
      <c r="O621" t="n">
        <v>-70</v>
      </c>
      <c r="P621" t="n">
        <v>0.01513</v>
      </c>
      <c r="Q621" t="n">
        <v>-70</v>
      </c>
      <c r="R621" t="n">
        <v>0.1981</v>
      </c>
      <c r="S621">
        <f>IMAGE("https://mitra.stanford.edu/kundaje/oak/projects/neuro-variants/variant_position/credible/roussos_2024/variant_figures/roussos_2024.childhood.GLU/rs11214193_count_position.png",4,220,900)</f>
        <v/>
      </c>
      <c r="T621">
        <f>IMAGE("https://mitra.stanford.edu/kundaje/oak/projects/neuro-variants/variant_position/credible/roussos_2024/variant_figures/roussos_2024.childhood.GLU/rs11214193_profile_position.png",4,220,900)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-0.064375956</v>
      </c>
      <c r="G622" t="n">
        <v>0.1205487195497944</v>
      </c>
      <c r="H622" t="n">
        <v>0.0151011596796891</v>
      </c>
      <c r="I622" t="n">
        <v>0.2466018236625612</v>
      </c>
      <c r="J622" t="n">
        <v>0.1952537937713125</v>
      </c>
      <c r="K622" t="n">
        <v>0.1502756162535427</v>
      </c>
      <c r="L622" t="b">
        <v>0</v>
      </c>
      <c r="M622" t="b">
        <v>0</v>
      </c>
      <c r="N622" t="inlineStr">
        <is>
          <t>ref</t>
        </is>
      </c>
      <c r="O622" t="n">
        <v>-5</v>
      </c>
      <c r="P622" t="n">
        <v>0.00261</v>
      </c>
      <c r="Q622" t="n">
        <v>-5</v>
      </c>
      <c r="R622" t="n">
        <v>0.01416</v>
      </c>
      <c r="S622">
        <f>IMAGE("https://mitra.stanford.edu/kundaje/oak/projects/neuro-variants/variant_position/credible/roussos_2024/variant_figures/roussos_2024.childhood.GLU/rs11214222_count_position.png",4,220,900)</f>
        <v/>
      </c>
      <c r="T622">
        <f>IMAGE("https://mitra.stanford.edu/kundaje/oak/projects/neuro-variants/variant_position/credible/roussos_2024/variant_figures/roussos_2024.childhood.GLU/rs11214222_profile_position.png",4,220,900)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0.0030209282319999</v>
      </c>
      <c r="G623" t="n">
        <v>0.6661592459021896</v>
      </c>
      <c r="H623" t="n">
        <v>0.0084360390409512</v>
      </c>
      <c r="I623" t="n">
        <v>0.818688174198177</v>
      </c>
      <c r="J623" t="n">
        <v>0.0084261386465018</v>
      </c>
      <c r="K623" t="n">
        <v>0.6152584793825286</v>
      </c>
      <c r="L623" t="b">
        <v>0</v>
      </c>
      <c r="M623" t="b">
        <v>0</v>
      </c>
      <c r="N623" t="inlineStr">
        <is>
          <t>alt</t>
        </is>
      </c>
      <c r="O623" t="n">
        <v>40</v>
      </c>
      <c r="P623" t="n">
        <v>0.01613</v>
      </c>
      <c r="Q623" t="n">
        <v>-80</v>
      </c>
      <c r="R623" t="n">
        <v>0.0537</v>
      </c>
      <c r="S623">
        <f>IMAGE("https://mitra.stanford.edu/kundaje/oak/projects/neuro-variants/variant_position/credible/roussos_2024/variant_figures/roussos_2024.childhood.GLU/rs12279124_count_position.png",4,220,900)</f>
        <v/>
      </c>
      <c r="T623">
        <f>IMAGE("https://mitra.stanford.edu/kundaje/oak/projects/neuro-variants/variant_position/credible/roussos_2024/variant_figures/roussos_2024.childhood.GLU/rs12279124_profile_position.png",4,220,900)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-0.106682992</v>
      </c>
      <c r="G624" t="n">
        <v>0.0431954642943303</v>
      </c>
      <c r="H624" t="n">
        <v>0.0228928162355862</v>
      </c>
      <c r="I624" t="n">
        <v>0.0618538258635794</v>
      </c>
      <c r="J624" t="n">
        <v>0.1007561787219137</v>
      </c>
      <c r="K624" t="n">
        <v>0.2485714337650978</v>
      </c>
      <c r="L624" t="b">
        <v>0</v>
      </c>
      <c r="M624" t="b">
        <v>0</v>
      </c>
      <c r="N624" t="inlineStr">
        <is>
          <t>ref</t>
        </is>
      </c>
      <c r="O624" t="n">
        <v>100</v>
      </c>
      <c r="P624" t="n">
        <v>0.004345</v>
      </c>
      <c r="Q624" t="n">
        <v>-80</v>
      </c>
      <c r="R624" t="n">
        <v>0.2803</v>
      </c>
      <c r="S624">
        <f>IMAGE("https://mitra.stanford.edu/kundaje/oak/projects/neuro-variants/variant_position/credible/roussos_2024/variant_figures/roussos_2024.childhood.GLU/rs7946458_count_position.png",4,220,900)</f>
        <v/>
      </c>
      <c r="T624">
        <f>IMAGE("https://mitra.stanford.edu/kundaje/oak/projects/neuro-variants/variant_position/credible/roussos_2024/variant_figures/roussos_2024.childhood.GLU/rs7946458_profile_position.png",4,220,900)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0.126454314</v>
      </c>
      <c r="G625" t="n">
        <v>0.0327861505285454</v>
      </c>
      <c r="H625" t="n">
        <v>0.0524537513332583</v>
      </c>
      <c r="I625" t="n">
        <v>0.0032281529975109</v>
      </c>
      <c r="J625" t="n">
        <v>2.987627102928905e-05</v>
      </c>
      <c r="K625" t="n">
        <v>0.9839871253109131</v>
      </c>
      <c r="L625" t="b">
        <v>0</v>
      </c>
      <c r="M625" t="b">
        <v>0</v>
      </c>
      <c r="N625" t="inlineStr">
        <is>
          <t>alt</t>
        </is>
      </c>
      <c r="O625" t="n">
        <v>-40</v>
      </c>
      <c r="P625" t="n">
        <v>0.000824</v>
      </c>
      <c r="Q625" t="n">
        <v>80</v>
      </c>
      <c r="R625" t="n">
        <v>0.049</v>
      </c>
      <c r="S625">
        <f>IMAGE("https://mitra.stanford.edu/kundaje/oak/projects/neuro-variants/variant_position/credible/roussos_2024/variant_figures/roussos_2024.childhood.GLU/rs7118324_count_position.png",4,220,900)</f>
        <v/>
      </c>
      <c r="T625">
        <f>IMAGE("https://mitra.stanford.edu/kundaje/oak/projects/neuro-variants/variant_position/credible/roussos_2024/variant_figures/roussos_2024.childhood.GLU/rs7118324_profile_position.png",4,220,900)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0.0256743531</v>
      </c>
      <c r="G626" t="n">
        <v>0.3894056465812064</v>
      </c>
      <c r="H626" t="n">
        <v>0.0216048222226448</v>
      </c>
      <c r="I626" t="n">
        <v>0.0752134275019067</v>
      </c>
      <c r="J626" t="n">
        <v>0.09141932891713959</v>
      </c>
      <c r="K626" t="n">
        <v>0.2586482425240814</v>
      </c>
      <c r="L626" t="b">
        <v>0</v>
      </c>
      <c r="M626" t="b">
        <v>0</v>
      </c>
      <c r="N626" t="inlineStr">
        <is>
          <t>alt</t>
        </is>
      </c>
      <c r="O626" t="n">
        <v>-75</v>
      </c>
      <c r="P626" t="n">
        <v>0.0004883</v>
      </c>
      <c r="Q626" t="n">
        <v>95</v>
      </c>
      <c r="R626" t="n">
        <v>0.05862</v>
      </c>
      <c r="S626">
        <f>IMAGE("https://mitra.stanford.edu/kundaje/oak/projects/neuro-variants/variant_position/credible/roussos_2024/variant_figures/roussos_2024.childhood.GLU/rs12286447_count_position.png",4,220,900)</f>
        <v/>
      </c>
      <c r="T626">
        <f>IMAGE("https://mitra.stanford.edu/kundaje/oak/projects/neuro-variants/variant_position/credible/roussos_2024/variant_figures/roussos_2024.childhood.GLU/rs12286447_profile_position.png",4,220,900)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-0.348124172</v>
      </c>
      <c r="G627" t="n">
        <v>0.001383269874863</v>
      </c>
      <c r="H627" t="n">
        <v>0.0911392487770081</v>
      </c>
      <c r="I627" t="n">
        <v>0.0004184008026317</v>
      </c>
      <c r="J627" t="n">
        <v>0.350457931119742</v>
      </c>
      <c r="K627" t="n">
        <v>0.07887661083115401</v>
      </c>
      <c r="L627" t="b">
        <v>1</v>
      </c>
      <c r="M627" t="b">
        <v>1</v>
      </c>
      <c r="N627" t="inlineStr">
        <is>
          <t>ref</t>
        </is>
      </c>
      <c r="O627" t="n">
        <v>60</v>
      </c>
      <c r="P627" t="n">
        <v>0.00464</v>
      </c>
      <c r="Q627" t="n">
        <v>60</v>
      </c>
      <c r="R627" t="n">
        <v>0.0083</v>
      </c>
      <c r="S627">
        <f>IMAGE("https://mitra.stanford.edu/kundaje/oak/projects/neuro-variants/variant_position/credible/roussos_2024/variant_figures/roussos_2024.childhood.GLU/rs3781884_count_position.png",4,220,900)</f>
        <v/>
      </c>
      <c r="T627">
        <f>IMAGE("https://mitra.stanford.edu/kundaje/oak/projects/neuro-variants/variant_position/credible/roussos_2024/variant_figures/roussos_2024.childhood.GLU/rs3781884_profile_position.png",4,220,900)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-0.0430294969999999</v>
      </c>
      <c r="G628" t="n">
        <v>0.2275734173501267</v>
      </c>
      <c r="H628" t="n">
        <v>0.0119421273485858</v>
      </c>
      <c r="I628" t="n">
        <v>0.4482046040935651</v>
      </c>
      <c r="J628" t="n">
        <v>0.0677738057218209</v>
      </c>
      <c r="K628" t="n">
        <v>0.3050085152584266</v>
      </c>
      <c r="L628" t="b">
        <v>0</v>
      </c>
      <c r="M628" t="b">
        <v>0</v>
      </c>
      <c r="N628" t="inlineStr">
        <is>
          <t>ref</t>
        </is>
      </c>
      <c r="O628" t="n">
        <v>-100</v>
      </c>
      <c r="P628" t="n">
        <v>0.00431</v>
      </c>
      <c r="Q628" t="n">
        <v>95</v>
      </c>
      <c r="R628" t="n">
        <v>0.09937</v>
      </c>
      <c r="S628">
        <f>IMAGE("https://mitra.stanford.edu/kundaje/oak/projects/neuro-variants/variant_position/credible/roussos_2024/variant_figures/roussos_2024.childhood.GLU/rs12421616_count_position.png",4,220,900)</f>
        <v/>
      </c>
      <c r="T628">
        <f>IMAGE("https://mitra.stanford.edu/kundaje/oak/projects/neuro-variants/variant_position/credible/roussos_2024/variant_figures/roussos_2024.childhood.GLU/rs12421616_profile_position.png",4,220,900)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0.265218704</v>
      </c>
      <c r="G629" t="n">
        <v>0.0031845153514991</v>
      </c>
      <c r="H629" t="n">
        <v>0.0348922809522133</v>
      </c>
      <c r="I629" t="n">
        <v>0.0127793397714912</v>
      </c>
      <c r="J629" t="n">
        <v>0.0990192341372453</v>
      </c>
      <c r="K629" t="n">
        <v>0.2501328316538483</v>
      </c>
      <c r="L629" t="b">
        <v>1</v>
      </c>
      <c r="M629" t="b">
        <v>1</v>
      </c>
      <c r="N629" t="inlineStr">
        <is>
          <t>alt</t>
        </is>
      </c>
      <c r="O629" t="n">
        <v>80</v>
      </c>
      <c r="P629" t="n">
        <v>0.003231</v>
      </c>
      <c r="Q629" t="n">
        <v>-80</v>
      </c>
      <c r="R629" t="n">
        <v>0.1172</v>
      </c>
      <c r="S629">
        <f>IMAGE("https://mitra.stanford.edu/kundaje/oak/projects/neuro-variants/variant_position/credible/roussos_2024/variant_figures/roussos_2024.childhood.GLU/rs7121986_count_position.png",4,220,900)</f>
        <v/>
      </c>
      <c r="T629">
        <f>IMAGE("https://mitra.stanford.edu/kundaje/oak/projects/neuro-variants/variant_position/credible/roussos_2024/variant_figures/roussos_2024.childhood.GLU/rs7121986_profile_position.png",4,220,900)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0.01629874626</v>
      </c>
      <c r="G630" t="n">
        <v>0.5209925074438143</v>
      </c>
      <c r="H630" t="n">
        <v>0.0365454175864549</v>
      </c>
      <c r="I630" t="n">
        <v>0.0097496235171757</v>
      </c>
      <c r="J630" t="n">
        <v>0.0418030844674296</v>
      </c>
      <c r="K630" t="n">
        <v>0.3752091329881548</v>
      </c>
      <c r="L630" t="b">
        <v>1</v>
      </c>
      <c r="M630" t="b">
        <v>0</v>
      </c>
      <c r="N630" t="inlineStr">
        <is>
          <t>alt</t>
        </is>
      </c>
      <c r="O630" t="n">
        <v>80</v>
      </c>
      <c r="P630" t="n">
        <v>0.07104000000000001</v>
      </c>
      <c r="Q630" t="n">
        <v>-100</v>
      </c>
      <c r="R630" t="n">
        <v>0.1992</v>
      </c>
      <c r="S630">
        <f>IMAGE("https://mitra.stanford.edu/kundaje/oak/projects/neuro-variants/variant_position/credible/roussos_2024/variant_figures/roussos_2024.childhood.GLU/rs4245150_count_position.png",4,220,900)</f>
        <v/>
      </c>
      <c r="T630">
        <f>IMAGE("https://mitra.stanford.edu/kundaje/oak/projects/neuro-variants/variant_position/credible/roussos_2024/variant_figures/roussos_2024.childhood.GLU/rs4245150_profile_position.png",4,220,900)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-0.0043403736</v>
      </c>
      <c r="G631" t="n">
        <v>0.6801501440323539</v>
      </c>
      <c r="H631" t="n">
        <v>0.0148968701564408</v>
      </c>
      <c r="I631" t="n">
        <v>0.2591587530838238</v>
      </c>
      <c r="J631" t="n">
        <v>0.0418690183069425</v>
      </c>
      <c r="K631" t="n">
        <v>0.3754425667291334</v>
      </c>
      <c r="L631" t="b">
        <v>0</v>
      </c>
      <c r="M631" t="b">
        <v>0</v>
      </c>
      <c r="N631" t="inlineStr">
        <is>
          <t>ref</t>
        </is>
      </c>
      <c r="O631" t="n">
        <v>70</v>
      </c>
      <c r="P631" t="n">
        <v>0.0788</v>
      </c>
      <c r="Q631" t="n">
        <v>65</v>
      </c>
      <c r="R631" t="n">
        <v>0.0579</v>
      </c>
      <c r="S631">
        <f>IMAGE("https://mitra.stanford.edu/kundaje/oak/projects/neuro-variants/variant_position/credible/roussos_2024/variant_figures/roussos_2024.childhood.GLU/rs17602038_count_position.png",4,220,900)</f>
        <v/>
      </c>
      <c r="T631">
        <f>IMAGE("https://mitra.stanford.edu/kundaje/oak/projects/neuro-variants/variant_position/credible/roussos_2024/variant_figures/roussos_2024.childhood.GLU/rs17602038_profile_position.png",4,220,900)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0.1010454954</v>
      </c>
      <c r="G632" t="n">
        <v>0.0523283647530055</v>
      </c>
      <c r="H632" t="n">
        <v>0.0163286413910903</v>
      </c>
      <c r="I632" t="n">
        <v>0.2073652996676193</v>
      </c>
      <c r="J632" t="n">
        <v>0.0504074505238649</v>
      </c>
      <c r="K632" t="n">
        <v>0.3531017180699767</v>
      </c>
      <c r="L632" t="b">
        <v>0</v>
      </c>
      <c r="M632" t="b">
        <v>0</v>
      </c>
      <c r="N632" t="inlineStr">
        <is>
          <t>alt</t>
        </is>
      </c>
      <c r="O632" t="n">
        <v>-80</v>
      </c>
      <c r="P632" t="n">
        <v>0.003456</v>
      </c>
      <c r="Q632" t="n">
        <v>85</v>
      </c>
      <c r="R632" t="n">
        <v>0.02148</v>
      </c>
      <c r="S632">
        <f>IMAGE("https://mitra.stanford.edu/kundaje/oak/projects/neuro-variants/variant_position/credible/roussos_2024/variant_figures/roussos_2024.childhood.GLU/rs2514222_count_position.png",4,220,900)</f>
        <v/>
      </c>
      <c r="T632">
        <f>IMAGE("https://mitra.stanford.edu/kundaje/oak/projects/neuro-variants/variant_position/credible/roussos_2024/variant_figures/roussos_2024.childhood.GLU/rs2514222_profile_position.png",4,220,900)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-0.151048714</v>
      </c>
      <c r="G633" t="n">
        <v>0.0183493395867992</v>
      </c>
      <c r="H633" t="n">
        <v>0.0285169921126805</v>
      </c>
      <c r="I633" t="n">
        <v>0.0265372407926756</v>
      </c>
      <c r="J633" t="n">
        <v>0.1088866453068498</v>
      </c>
      <c r="K633" t="n">
        <v>0.2310937902203237</v>
      </c>
      <c r="L633" t="b">
        <v>1</v>
      </c>
      <c r="M633" t="b">
        <v>0</v>
      </c>
      <c r="N633" t="inlineStr">
        <is>
          <t>ref</t>
        </is>
      </c>
      <c r="O633" t="n">
        <v>-100</v>
      </c>
      <c r="P633" t="n">
        <v>0.00461</v>
      </c>
      <c r="Q633" t="n">
        <v>50</v>
      </c>
      <c r="R633" t="n">
        <v>0.04785</v>
      </c>
      <c r="S633">
        <f>IMAGE("https://mitra.stanford.edu/kundaje/oak/projects/neuro-variants/variant_position/credible/roussos_2024/variant_figures/roussos_2024.childhood.GLU/rs115990434_count_position.png",4,220,900)</f>
        <v/>
      </c>
      <c r="T633">
        <f>IMAGE("https://mitra.stanford.edu/kundaje/oak/projects/neuro-variants/variant_position/credible/roussos_2024/variant_figures/roussos_2024.childhood.GLU/rs115990434_profile_position.png",4,220,900)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0.06979078380000001</v>
      </c>
      <c r="G634" t="n">
        <v>0.09277812300187301</v>
      </c>
      <c r="H634" t="n">
        <v>0.017428466686607</v>
      </c>
      <c r="I634" t="n">
        <v>0.1546332291809289</v>
      </c>
      <c r="J634" t="n">
        <v>0.08165699980425881</v>
      </c>
      <c r="K634" t="n">
        <v>0.2806023298157783</v>
      </c>
      <c r="L634" t="b">
        <v>0</v>
      </c>
      <c r="M634" t="b">
        <v>0</v>
      </c>
      <c r="N634" t="inlineStr">
        <is>
          <t>alt</t>
        </is>
      </c>
      <c r="O634" t="n">
        <v>100</v>
      </c>
      <c r="P634" t="n">
        <v>0.01113</v>
      </c>
      <c r="Q634" t="n">
        <v>-100</v>
      </c>
      <c r="R634" t="n">
        <v>0.0731</v>
      </c>
      <c r="S634">
        <f>IMAGE("https://mitra.stanford.edu/kundaje/oak/projects/neuro-variants/variant_position/credible/roussos_2024/variant_figures/roussos_2024.childhood.GLU/rs59472562_count_position.png",4,220,900)</f>
        <v/>
      </c>
      <c r="T634">
        <f>IMAGE("https://mitra.stanford.edu/kundaje/oak/projects/neuro-variants/variant_position/credible/roussos_2024/variant_figures/roussos_2024.childhood.GLU/rs59472562_profile_position.png",4,220,900)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0.0369241488</v>
      </c>
      <c r="G635" t="n">
        <v>0.2684239171072505</v>
      </c>
      <c r="H635" t="n">
        <v>0.0196553680646532</v>
      </c>
      <c r="I635" t="n">
        <v>0.1075735323217357</v>
      </c>
      <c r="J635" t="n">
        <v>0.1017668208556975</v>
      </c>
      <c r="K635" t="n">
        <v>0.2538933097076168</v>
      </c>
      <c r="L635" t="b">
        <v>0</v>
      </c>
      <c r="M635" t="b">
        <v>0</v>
      </c>
      <c r="N635" t="inlineStr">
        <is>
          <t>alt</t>
        </is>
      </c>
      <c r="O635" t="n">
        <v>85</v>
      </c>
      <c r="P635" t="n">
        <v>0.003681</v>
      </c>
      <c r="Q635" t="n">
        <v>100</v>
      </c>
      <c r="R635" t="n">
        <v>0.1091</v>
      </c>
      <c r="S635">
        <f>IMAGE("https://mitra.stanford.edu/kundaje/oak/projects/neuro-variants/variant_position/credible/roussos_2024/variant_figures/roussos_2024.childhood.GLU/rs11607834_count_position.png",4,220,900)</f>
        <v/>
      </c>
      <c r="T635">
        <f>IMAGE("https://mitra.stanford.edu/kundaje/oak/projects/neuro-variants/variant_position/credible/roussos_2024/variant_figures/roussos_2024.childhood.GLU/rs11607834_profile_position.png",4,220,900)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0.22186668</v>
      </c>
      <c r="G636" t="n">
        <v>0.0055105373076397</v>
      </c>
      <c r="H636" t="n">
        <v>0.0351088141540288</v>
      </c>
      <c r="I636" t="n">
        <v>0.011385500713351</v>
      </c>
      <c r="J636" t="n">
        <v>0.1509750996734214</v>
      </c>
      <c r="K636" t="n">
        <v>0.1922637339221497</v>
      </c>
      <c r="L636" t="b">
        <v>1</v>
      </c>
      <c r="M636" t="b">
        <v>1</v>
      </c>
      <c r="N636" t="inlineStr">
        <is>
          <t>alt</t>
        </is>
      </c>
      <c r="O636" t="n">
        <v>-100</v>
      </c>
      <c r="P636" t="n">
        <v>0.003637</v>
      </c>
      <c r="Q636" t="n">
        <v>100</v>
      </c>
      <c r="R636" t="n">
        <v>0.07666000000000001</v>
      </c>
      <c r="S636">
        <f>IMAGE("https://mitra.stanford.edu/kundaje/oak/projects/neuro-variants/variant_position/credible/roussos_2024/variant_figures/roussos_2024.childhood.GLU/rs11607852_count_position.png",4,220,900)</f>
        <v/>
      </c>
      <c r="T636">
        <f>IMAGE("https://mitra.stanford.edu/kundaje/oak/projects/neuro-variants/variant_position/credible/roussos_2024/variant_figures/roussos_2024.childhood.GLU/rs11607852_profile_position.png",4,220,900)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0.004145656572</v>
      </c>
      <c r="G637" t="n">
        <v>0.8110590543589923</v>
      </c>
      <c r="H637" t="n">
        <v>0.0132735489948528</v>
      </c>
      <c r="I637" t="n">
        <v>0.3499365458944978</v>
      </c>
      <c r="J637" t="n">
        <v>0.0302306654166709</v>
      </c>
      <c r="K637" t="n">
        <v>0.4300448582569454</v>
      </c>
      <c r="L637" t="b">
        <v>0</v>
      </c>
      <c r="M637" t="b">
        <v>0</v>
      </c>
      <c r="N637" t="inlineStr">
        <is>
          <t>alt</t>
        </is>
      </c>
      <c r="O637" t="n">
        <v>-95</v>
      </c>
      <c r="P637" t="n">
        <v>0.00225</v>
      </c>
      <c r="Q637" t="n">
        <v>55</v>
      </c>
      <c r="R637" t="n">
        <v>0.07385</v>
      </c>
      <c r="S637">
        <f>IMAGE("https://mitra.stanford.edu/kundaje/oak/projects/neuro-variants/variant_position/credible/roussos_2024/variant_figures/roussos_2024.childhood.GLU/rs11605737_count_position.png",4,220,900)</f>
        <v/>
      </c>
      <c r="T637">
        <f>IMAGE("https://mitra.stanford.edu/kundaje/oak/projects/neuro-variants/variant_position/credible/roussos_2024/variant_figures/roussos_2024.childhood.GLU/rs11605737_profile_position.png",4,220,900)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0.0163124352</v>
      </c>
      <c r="G638" t="n">
        <v>0.3441630609764237</v>
      </c>
      <c r="H638" t="n">
        <v>0.0131318865080127</v>
      </c>
      <c r="I638" t="n">
        <v>0.3604983163000452</v>
      </c>
      <c r="J638" t="n">
        <v>0.0241987493174816</v>
      </c>
      <c r="K638" t="n">
        <v>0.4772744535273199</v>
      </c>
      <c r="L638" t="b">
        <v>0</v>
      </c>
      <c r="M638" t="b">
        <v>0</v>
      </c>
      <c r="N638" t="inlineStr">
        <is>
          <t>alt</t>
        </is>
      </c>
      <c r="O638" t="n">
        <v>-100</v>
      </c>
      <c r="P638" t="n">
        <v>0.00821</v>
      </c>
      <c r="Q638" t="n">
        <v>50</v>
      </c>
      <c r="R638" t="n">
        <v>0.02954</v>
      </c>
      <c r="S638">
        <f>IMAGE("https://mitra.stanford.edu/kundaje/oak/projects/neuro-variants/variant_position/credible/roussos_2024/variant_figures/roussos_2024.childhood.GLU/rs11606258_count_position.png",4,220,900)</f>
        <v/>
      </c>
      <c r="T638">
        <f>IMAGE("https://mitra.stanford.edu/kundaje/oak/projects/neuro-variants/variant_position/credible/roussos_2024/variant_figures/roussos_2024.childhood.GLU/rs11606258_profile_position.png",4,220,900)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-0.0239033479999999</v>
      </c>
      <c r="G639" t="n">
        <v>0.4186384350827523</v>
      </c>
      <c r="H639" t="n">
        <v>0.026415993686694</v>
      </c>
      <c r="I639" t="n">
        <v>0.035354529651387</v>
      </c>
      <c r="J639" t="n">
        <v>0.09056424943595651</v>
      </c>
      <c r="K639" t="n">
        <v>0.2621492299805559</v>
      </c>
      <c r="L639" t="b">
        <v>0</v>
      </c>
      <c r="M639" t="b">
        <v>0</v>
      </c>
      <c r="N639" t="inlineStr">
        <is>
          <t>ref</t>
        </is>
      </c>
      <c r="O639" t="n">
        <v>-50</v>
      </c>
      <c r="P639" t="n">
        <v>0.04095</v>
      </c>
      <c r="Q639" t="n">
        <v>-50</v>
      </c>
      <c r="R639" t="n">
        <v>0.1016</v>
      </c>
      <c r="S639">
        <f>IMAGE("https://mitra.stanford.edu/kundaje/oak/projects/neuro-variants/variant_position/credible/roussos_2024/variant_figures/roussos_2024.childhood.GLU/rs17532254_count_position.png",4,220,900)</f>
        <v/>
      </c>
      <c r="T639">
        <f>IMAGE("https://mitra.stanford.edu/kundaje/oak/projects/neuro-variants/variant_position/credible/roussos_2024/variant_figures/roussos_2024.childhood.GLU/rs17532254_profile_position.png",4,220,900)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0.0305606514</v>
      </c>
      <c r="G640" t="n">
        <v>0.322515422086796</v>
      </c>
      <c r="H640" t="n">
        <v>0.0127645791370564</v>
      </c>
      <c r="I640" t="n">
        <v>0.3881090575848845</v>
      </c>
      <c r="J640" t="n">
        <v>0.2664880958513191</v>
      </c>
      <c r="K640" t="n">
        <v>0.1135259549725067</v>
      </c>
      <c r="L640" t="b">
        <v>0</v>
      </c>
      <c r="M640" t="b">
        <v>0</v>
      </c>
      <c r="N640" t="inlineStr">
        <is>
          <t>alt</t>
        </is>
      </c>
      <c r="O640" t="n">
        <v>95</v>
      </c>
      <c r="P640" t="n">
        <v>0.01624</v>
      </c>
      <c r="Q640" t="n">
        <v>100</v>
      </c>
      <c r="R640" t="n">
        <v>0.03394</v>
      </c>
      <c r="S640">
        <f>IMAGE("https://mitra.stanford.edu/kundaje/oak/projects/neuro-variants/variant_position/credible/roussos_2024/variant_figures/roussos_2024.childhood.GLU/rs11602504_count_position.png",4,220,900)</f>
        <v/>
      </c>
      <c r="T640">
        <f>IMAGE("https://mitra.stanford.edu/kundaje/oak/projects/neuro-variants/variant_position/credible/roussos_2024/variant_figures/roussos_2024.childhood.GLU/rs11602504_profile_position.png",4,220,900)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0.0920843308</v>
      </c>
      <c r="G641" t="n">
        <v>0.0538677961695131</v>
      </c>
      <c r="H641" t="n">
        <v>0.020598524478107</v>
      </c>
      <c r="I641" t="n">
        <v>0.090526989565561</v>
      </c>
      <c r="J641" t="n">
        <v>0.1237753304418597</v>
      </c>
      <c r="K641" t="n">
        <v>0.2189384755846918</v>
      </c>
      <c r="L641" t="b">
        <v>0</v>
      </c>
      <c r="M641" t="b">
        <v>0</v>
      </c>
      <c r="N641" t="inlineStr">
        <is>
          <t>alt</t>
        </is>
      </c>
      <c r="O641" t="n">
        <v>-100</v>
      </c>
      <c r="P641" t="n">
        <v>0.008399999999999999</v>
      </c>
      <c r="Q641" t="n">
        <v>-100</v>
      </c>
      <c r="R641" t="n">
        <v>0.08154</v>
      </c>
      <c r="S641">
        <f>IMAGE("https://mitra.stanford.edu/kundaje/oak/projects/neuro-variants/variant_position/credible/roussos_2024/variant_figures/roussos_2024.childhood.GLU/rs61904990_count_position.png",4,220,900)</f>
        <v/>
      </c>
      <c r="T641">
        <f>IMAGE("https://mitra.stanford.edu/kundaje/oak/projects/neuro-variants/variant_position/credible/roussos_2024/variant_figures/roussos_2024.childhood.GLU/rs61904990_profile_position.png",4,220,900)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0.0218904718</v>
      </c>
      <c r="G642" t="n">
        <v>0.2601254420744469</v>
      </c>
      <c r="H642" t="n">
        <v>0.0111386310424547</v>
      </c>
      <c r="I642" t="n">
        <v>0.5294035362617127</v>
      </c>
      <c r="J642" t="n">
        <v>0.052411221115312</v>
      </c>
      <c r="K642" t="n">
        <v>0.347503208352464</v>
      </c>
      <c r="L642" t="b">
        <v>0</v>
      </c>
      <c r="M642" t="b">
        <v>0</v>
      </c>
      <c r="N642" t="inlineStr">
        <is>
          <t>alt</t>
        </is>
      </c>
      <c r="O642" t="n">
        <v>25</v>
      </c>
      <c r="P642" t="n">
        <v>0.001472</v>
      </c>
      <c r="Q642" t="n">
        <v>70</v>
      </c>
      <c r="R642" t="n">
        <v>0.0803</v>
      </c>
      <c r="S642">
        <f>IMAGE("https://mitra.stanford.edu/kundaje/oak/projects/neuro-variants/variant_position/credible/roussos_2024/variant_figures/roussos_2024.childhood.GLU/rs17610915_count_position.png",4,220,900)</f>
        <v/>
      </c>
      <c r="T642">
        <f>IMAGE("https://mitra.stanford.edu/kundaje/oak/projects/neuro-variants/variant_position/credible/roussos_2024/variant_figures/roussos_2024.childhood.GLU/rs17610915_profile_position.png",4,220,900)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0.06937626379999989</v>
      </c>
      <c r="G643" t="n">
        <v>0.0967041063392214</v>
      </c>
      <c r="H643" t="n">
        <v>0.0162992732919097</v>
      </c>
      <c r="I643" t="n">
        <v>0.2045947630411861</v>
      </c>
      <c r="J643" t="n">
        <v>0.1454655032091236</v>
      </c>
      <c r="K643" t="n">
        <v>0.1912353979066751</v>
      </c>
      <c r="L643" t="b">
        <v>0</v>
      </c>
      <c r="M643" t="b">
        <v>0</v>
      </c>
      <c r="N643" t="inlineStr">
        <is>
          <t>alt</t>
        </is>
      </c>
      <c r="O643" t="n">
        <v>55</v>
      </c>
      <c r="P643" t="n">
        <v>0.00683</v>
      </c>
      <c r="Q643" t="n">
        <v>55</v>
      </c>
      <c r="R643" t="n">
        <v>0.2383</v>
      </c>
      <c r="S643">
        <f>IMAGE("https://mitra.stanford.edu/kundaje/oak/projects/neuro-variants/variant_position/credible/roussos_2024/variant_figures/roussos_2024.childhood.GLU/rs61904994_count_position.png",4,220,900)</f>
        <v/>
      </c>
      <c r="T643">
        <f>IMAGE("https://mitra.stanford.edu/kundaje/oak/projects/neuro-variants/variant_position/credible/roussos_2024/variant_figures/roussos_2024.childhood.GLU/rs61904994_profile_position.png",4,220,900)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-0.009138835</v>
      </c>
      <c r="G644" t="n">
        <v>0.6421537744205538</v>
      </c>
      <c r="H644" t="n">
        <v>0.0077695739987058</v>
      </c>
      <c r="I644" t="n">
        <v>0.89330269480294</v>
      </c>
      <c r="J644" t="n">
        <v>0.0103392502086187</v>
      </c>
      <c r="K644" t="n">
        <v>0.5870580090816776</v>
      </c>
      <c r="L644" t="b">
        <v>0</v>
      </c>
      <c r="M644" t="b">
        <v>0</v>
      </c>
      <c r="N644" t="inlineStr">
        <is>
          <t>ref</t>
        </is>
      </c>
      <c r="O644" t="n">
        <v>-100</v>
      </c>
      <c r="P644" t="n">
        <v>0.01337</v>
      </c>
      <c r="Q644" t="n">
        <v>-55</v>
      </c>
      <c r="R644" t="n">
        <v>0.03058</v>
      </c>
      <c r="S644">
        <f>IMAGE("https://mitra.stanford.edu/kundaje/oak/projects/neuro-variants/variant_position/credible/roussos_2024/variant_figures/roussos_2024.childhood.GLU/rs11600745_count_position.png",4,220,900)</f>
        <v/>
      </c>
      <c r="T644">
        <f>IMAGE("https://mitra.stanford.edu/kundaje/oak/projects/neuro-variants/variant_position/credible/roussos_2024/variant_figures/roussos_2024.childhood.GLU/rs11600745_profile_position.png",4,220,900)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-0.0469767259999999</v>
      </c>
      <c r="G645" t="n">
        <v>0.1977003755985082</v>
      </c>
      <c r="H645" t="n">
        <v>0.0099384034528213</v>
      </c>
      <c r="I645" t="n">
        <v>0.6508051520180016</v>
      </c>
      <c r="J645" t="n">
        <v>0.0131445290366447</v>
      </c>
      <c r="K645" t="n">
        <v>0.558233870455117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0.003044</v>
      </c>
      <c r="Q645" t="n">
        <v>5</v>
      </c>
      <c r="R645" t="n">
        <v>0.005737</v>
      </c>
      <c r="S645">
        <f>IMAGE("https://mitra.stanford.edu/kundaje/oak/projects/neuro-variants/variant_position/credible/roussos_2024/variant_figures/roussos_2024.childhood.GLU/rs73004093_count_position.png",4,220,900)</f>
        <v/>
      </c>
      <c r="T645">
        <f>IMAGE("https://mitra.stanford.edu/kundaje/oak/projects/neuro-variants/variant_position/credible/roussos_2024/variant_figures/roussos_2024.childhood.GLU/rs73004093_profile_position.png",4,220,900)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0.04397423824</v>
      </c>
      <c r="G646" t="n">
        <v>0.2451280826043725</v>
      </c>
      <c r="H646" t="n">
        <v>0.0162601263916981</v>
      </c>
      <c r="I646" t="n">
        <v>0.2015334155362279</v>
      </c>
      <c r="J646" t="n">
        <v>0.00974481543676</v>
      </c>
      <c r="K646" t="n">
        <v>0.6091615669077749</v>
      </c>
      <c r="L646" t="b">
        <v>0</v>
      </c>
      <c r="M646" t="b">
        <v>0</v>
      </c>
      <c r="N646" t="inlineStr">
        <is>
          <t>alt</t>
        </is>
      </c>
      <c r="O646" t="n">
        <v>-80</v>
      </c>
      <c r="P646" t="n">
        <v>0.00277</v>
      </c>
      <c r="Q646" t="n">
        <v>-45</v>
      </c>
      <c r="R646" t="n">
        <v>0.03183</v>
      </c>
      <c r="S646">
        <f>IMAGE("https://mitra.stanford.edu/kundaje/oak/projects/neuro-variants/variant_position/credible/roussos_2024/variant_figures/roussos_2024.childhood.GLU/rs11601890_count_position.png",4,220,900)</f>
        <v/>
      </c>
      <c r="T646">
        <f>IMAGE("https://mitra.stanford.edu/kundaje/oak/projects/neuro-variants/variant_position/credible/roussos_2024/variant_figures/roussos_2024.childhood.GLU/rs11601890_profile_position.png",4,220,900)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0.0384642348</v>
      </c>
      <c r="G647" t="n">
        <v>0.2499920960483108</v>
      </c>
      <c r="H647" t="n">
        <v>0.0103100810941155</v>
      </c>
      <c r="I647" t="n">
        <v>0.6238983264481982</v>
      </c>
      <c r="J647" t="n">
        <v>0.1363604520588871</v>
      </c>
      <c r="K647" t="n">
        <v>0.2075416465588039</v>
      </c>
      <c r="L647" t="b">
        <v>0</v>
      </c>
      <c r="M647" t="b">
        <v>0</v>
      </c>
      <c r="N647" t="inlineStr">
        <is>
          <t>alt</t>
        </is>
      </c>
      <c r="O647" t="n">
        <v>15</v>
      </c>
      <c r="P647" t="n">
        <v>0.000824</v>
      </c>
      <c r="Q647" t="n">
        <v>15</v>
      </c>
      <c r="R647" t="n">
        <v>0.0718</v>
      </c>
      <c r="S647">
        <f>IMAGE("https://mitra.stanford.edu/kundaje/oak/projects/neuro-variants/variant_position/credible/roussos_2024/variant_figures/roussos_2024.childhood.GLU/rs11601548_count_position.png",4,220,900)</f>
        <v/>
      </c>
      <c r="T647">
        <f>IMAGE("https://mitra.stanford.edu/kundaje/oak/projects/neuro-variants/variant_position/credible/roussos_2024/variant_figures/roussos_2024.childhood.GLU/rs11601548_profile_position.png",4,220,900)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-0.126123552</v>
      </c>
      <c r="G648" t="n">
        <v>0.0262230501037942</v>
      </c>
      <c r="H648" t="n">
        <v>0.014949702676791</v>
      </c>
      <c r="I648" t="n">
        <v>0.2489661700182694</v>
      </c>
      <c r="J648" t="n">
        <v>0.2029525997506876</v>
      </c>
      <c r="K648" t="n">
        <v>0.1509354311856524</v>
      </c>
      <c r="L648" t="b">
        <v>0</v>
      </c>
      <c r="M648" t="b">
        <v>0</v>
      </c>
      <c r="N648" t="inlineStr">
        <is>
          <t>ref</t>
        </is>
      </c>
      <c r="O648" t="n">
        <v>30</v>
      </c>
      <c r="P648" t="n">
        <v>0.0002723</v>
      </c>
      <c r="Q648" t="n">
        <v>80</v>
      </c>
      <c r="R648" t="n">
        <v>0.08996999999999999</v>
      </c>
      <c r="S648">
        <f>IMAGE("https://mitra.stanford.edu/kundaje/oak/projects/neuro-variants/variant_position/credible/roussos_2024/variant_figures/roussos_2024.childhood.GLU/rs11607747_count_position.png",4,220,900)</f>
        <v/>
      </c>
      <c r="T648">
        <f>IMAGE("https://mitra.stanford.edu/kundaje/oak/projects/neuro-variants/variant_position/credible/roussos_2024/variant_figures/roussos_2024.childhood.GLU/rs11607747_profile_position.png",4,220,900)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-0.04309380692</v>
      </c>
      <c r="G649" t="n">
        <v>0.2265668276660685</v>
      </c>
      <c r="H649" t="n">
        <v>0.0170306543083734</v>
      </c>
      <c r="I649" t="n">
        <v>0.1658313575623708</v>
      </c>
      <c r="J649" t="n">
        <v>0.0045370723314823</v>
      </c>
      <c r="K649" t="n">
        <v>0.6852131425544211</v>
      </c>
      <c r="L649" t="b">
        <v>0</v>
      </c>
      <c r="M649" t="b">
        <v>0</v>
      </c>
      <c r="N649" t="inlineStr">
        <is>
          <t>ref</t>
        </is>
      </c>
      <c r="O649" t="n">
        <v>-95</v>
      </c>
      <c r="P649" t="n">
        <v>0.012024</v>
      </c>
      <c r="Q649" t="n">
        <v>100</v>
      </c>
      <c r="R649" t="n">
        <v>0.09296</v>
      </c>
      <c r="S649">
        <f>IMAGE("https://mitra.stanford.edu/kundaje/oak/projects/neuro-variants/variant_position/credible/roussos_2024/variant_figures/roussos_2024.childhood.GLU/rs11603480_count_position.png",4,220,900)</f>
        <v/>
      </c>
      <c r="T649">
        <f>IMAGE("https://mitra.stanford.edu/kundaje/oak/projects/neuro-variants/variant_position/credible/roussos_2024/variant_figures/roussos_2024.childhood.GLU/rs11603480_profile_position.png",4,220,900)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0.0330189224</v>
      </c>
      <c r="G650" t="n">
        <v>0.2984019141793436</v>
      </c>
      <c r="H650" t="n">
        <v>0.009063639625123901</v>
      </c>
      <c r="I650" t="n">
        <v>0.7707759252477528</v>
      </c>
      <c r="J650" t="n">
        <v>0.1168409449143375</v>
      </c>
      <c r="K650" t="n">
        <v>0.2263737102954955</v>
      </c>
      <c r="L650" t="b">
        <v>0</v>
      </c>
      <c r="M650" t="b">
        <v>0</v>
      </c>
      <c r="N650" t="inlineStr">
        <is>
          <t>alt</t>
        </is>
      </c>
      <c r="O650" t="n">
        <v>95</v>
      </c>
      <c r="P650" t="n">
        <v>0.01038</v>
      </c>
      <c r="Q650" t="n">
        <v>100</v>
      </c>
      <c r="R650" t="n">
        <v>0.1418</v>
      </c>
      <c r="S650">
        <f>IMAGE("https://mitra.stanford.edu/kundaje/oak/projects/neuro-variants/variant_position/credible/roussos_2024/variant_figures/roussos_2024.childhood.GLU/rs6590000_count_position.png",4,220,900)</f>
        <v/>
      </c>
      <c r="T650">
        <f>IMAGE("https://mitra.stanford.edu/kundaje/oak/projects/neuro-variants/variant_position/credible/roussos_2024/variant_figures/roussos_2024.childhood.GLU/rs6590000_profile_position.png",4,220,900)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-0.209350026</v>
      </c>
      <c r="G651" t="n">
        <v>0.0072064275900296</v>
      </c>
      <c r="H651" t="n">
        <v>0.0371539159565693</v>
      </c>
      <c r="I651" t="n">
        <v>0.009321541063589499</v>
      </c>
      <c r="J651" t="n">
        <v>0.0874766913575159</v>
      </c>
      <c r="K651" t="n">
        <v>0.2660375400135571</v>
      </c>
      <c r="L651" t="b">
        <v>1</v>
      </c>
      <c r="M651" t="b">
        <v>1</v>
      </c>
      <c r="N651" t="inlineStr">
        <is>
          <t>ref</t>
        </is>
      </c>
      <c r="O651" t="n">
        <v>75</v>
      </c>
      <c r="P651" t="n">
        <v>0.00769</v>
      </c>
      <c r="Q651" t="n">
        <v>60</v>
      </c>
      <c r="R651" t="n">
        <v>0.04492</v>
      </c>
      <c r="S651">
        <f>IMAGE("https://mitra.stanford.edu/kundaje/oak/projects/neuro-variants/variant_position/credible/roussos_2024/variant_figures/roussos_2024.childhood.GLU/rs11219174_count_position.png",4,220,900)</f>
        <v/>
      </c>
      <c r="T651">
        <f>IMAGE("https://mitra.stanford.edu/kundaje/oak/projects/neuro-variants/variant_position/credible/roussos_2024/variant_figures/roussos_2024.childhood.GLU/rs11219174_profile_position.png",4,220,900)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-0.104994352</v>
      </c>
      <c r="G652" t="n">
        <v>0.0421829527906302</v>
      </c>
      <c r="H652" t="n">
        <v>0.0121840205547503</v>
      </c>
      <c r="I652" t="n">
        <v>0.4374256718489779</v>
      </c>
      <c r="J652" t="n">
        <v>0.0233086424840573</v>
      </c>
      <c r="K652" t="n">
        <v>0.4658834685584609</v>
      </c>
      <c r="L652" t="b">
        <v>0</v>
      </c>
      <c r="M652" t="b">
        <v>0</v>
      </c>
      <c r="N652" t="inlineStr">
        <is>
          <t>ref</t>
        </is>
      </c>
      <c r="O652" t="n">
        <v>95</v>
      </c>
      <c r="P652" t="n">
        <v>0.002342</v>
      </c>
      <c r="Q652" t="n">
        <v>-95</v>
      </c>
      <c r="R652" t="n">
        <v>0.06683</v>
      </c>
      <c r="S652">
        <f>IMAGE("https://mitra.stanford.edu/kundaje/oak/projects/neuro-variants/variant_position/credible/roussos_2024/variant_figures/roussos_2024.childhood.GLU/rs11601260_count_position.png",4,220,900)</f>
        <v/>
      </c>
      <c r="T652">
        <f>IMAGE("https://mitra.stanford.edu/kundaje/oak/projects/neuro-variants/variant_position/credible/roussos_2024/variant_figures/roussos_2024.childhood.GLU/rs11601260_profile_position.png",4,220,900)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0.0648721506</v>
      </c>
      <c r="G653" t="n">
        <v>0.1070820206753999</v>
      </c>
      <c r="H653" t="n">
        <v>0.0158388572729368</v>
      </c>
      <c r="I653" t="n">
        <v>0.2182027209439215</v>
      </c>
      <c r="J653" t="n">
        <v>0.0022458714084085</v>
      </c>
      <c r="K653" t="n">
        <v>0.7552345884335159</v>
      </c>
      <c r="L653" t="b">
        <v>0</v>
      </c>
      <c r="M653" t="b">
        <v>0</v>
      </c>
      <c r="N653" t="inlineStr">
        <is>
          <t>alt</t>
        </is>
      </c>
      <c r="O653" t="n">
        <v>-35</v>
      </c>
      <c r="P653" t="n">
        <v>0.001656</v>
      </c>
      <c r="Q653" t="n">
        <v>-15</v>
      </c>
      <c r="R653" t="n">
        <v>0.04907</v>
      </c>
      <c r="S653">
        <f>IMAGE("https://mitra.stanford.edu/kundaje/oak/projects/neuro-variants/variant_position/credible/roussos_2024/variant_figures/roussos_2024.childhood.GLU/rs111454416_count_position.png",4,220,900)</f>
        <v/>
      </c>
      <c r="T653">
        <f>IMAGE("https://mitra.stanford.edu/kundaje/oak/projects/neuro-variants/variant_position/credible/roussos_2024/variant_figures/roussos_2024.childhood.GLU/rs111454416_profile_position.png",4,220,900)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0.0086232781999999</v>
      </c>
      <c r="G654" t="n">
        <v>0.673832391925613</v>
      </c>
      <c r="H654" t="n">
        <v>0.0268868782152515</v>
      </c>
      <c r="I654" t="n">
        <v>0.0328558206770603</v>
      </c>
      <c r="J654" t="n">
        <v>0.0249229913358813</v>
      </c>
      <c r="K654" t="n">
        <v>0.4631954295990978</v>
      </c>
      <c r="L654" t="b">
        <v>0</v>
      </c>
      <c r="M654" t="b">
        <v>0</v>
      </c>
      <c r="N654" t="inlineStr">
        <is>
          <t>alt</t>
        </is>
      </c>
      <c r="O654" t="n">
        <v>-80</v>
      </c>
      <c r="P654" t="n">
        <v>0.006027</v>
      </c>
      <c r="Q654" t="n">
        <v>70</v>
      </c>
      <c r="R654" t="n">
        <v>0.0326</v>
      </c>
      <c r="S654">
        <f>IMAGE("https://mitra.stanford.edu/kundaje/oak/projects/neuro-variants/variant_position/credible/roussos_2024/variant_figures/roussos_2024.childhood.GLU/rs2212756_count_position.png",4,220,900)</f>
        <v/>
      </c>
      <c r="T654">
        <f>IMAGE("https://mitra.stanford.edu/kundaje/oak/projects/neuro-variants/variant_position/credible/roussos_2024/variant_figures/roussos_2024.childhood.GLU/rs2212756_profile_position.png",4,220,900)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-0.209788164</v>
      </c>
      <c r="G655" t="n">
        <v>0.0068124798983499</v>
      </c>
      <c r="H655" t="n">
        <v>0.0208102998144217</v>
      </c>
      <c r="I655" t="n">
        <v>0.0905278046625142</v>
      </c>
      <c r="J655" t="n">
        <v>0.08058969577714351</v>
      </c>
      <c r="K655" t="n">
        <v>0.2790900160090633</v>
      </c>
      <c r="L655" t="b">
        <v>1</v>
      </c>
      <c r="M655" t="b">
        <v>1</v>
      </c>
      <c r="N655" t="inlineStr">
        <is>
          <t>ref</t>
        </is>
      </c>
      <c r="O655" t="n">
        <v>-70</v>
      </c>
      <c r="P655" t="n">
        <v>0.002464</v>
      </c>
      <c r="Q655" t="n">
        <v>75</v>
      </c>
      <c r="R655" t="n">
        <v>0.04333</v>
      </c>
      <c r="S655">
        <f>IMAGE("https://mitra.stanford.edu/kundaje/oak/projects/neuro-variants/variant_position/credible/roussos_2024/variant_figures/roussos_2024.childhood.GLU/rs1942660_count_position.png",4,220,900)</f>
        <v/>
      </c>
      <c r="T655">
        <f>IMAGE("https://mitra.stanford.edu/kundaje/oak/projects/neuro-variants/variant_position/credible/roussos_2024/variant_figures/roussos_2024.childhood.GLU/rs1942660_profile_position.png",4,220,900)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-0.002778893</v>
      </c>
      <c r="G656" t="n">
        <v>0.7854559732815585</v>
      </c>
      <c r="H656" t="n">
        <v>0.0280280619891969</v>
      </c>
      <c r="I656" t="n">
        <v>0.0273660715892643</v>
      </c>
      <c r="J656" t="n">
        <v>0.0234982022726569</v>
      </c>
      <c r="K656" t="n">
        <v>0.4684176726881414</v>
      </c>
      <c r="L656" t="b">
        <v>0</v>
      </c>
      <c r="M656" t="b">
        <v>0</v>
      </c>
      <c r="N656" t="inlineStr">
        <is>
          <t>ref</t>
        </is>
      </c>
      <c r="O656" t="n">
        <v>-95</v>
      </c>
      <c r="P656" t="n">
        <v>0.00528</v>
      </c>
      <c r="Q656" t="n">
        <v>-100</v>
      </c>
      <c r="R656" t="n">
        <v>0.167</v>
      </c>
      <c r="S656">
        <f>IMAGE("https://mitra.stanford.edu/kundaje/oak/projects/neuro-variants/variant_position/credible/roussos_2024/variant_figures/roussos_2024.childhood.GLU/rs6590093_count_position.png",4,220,900)</f>
        <v/>
      </c>
      <c r="T656">
        <f>IMAGE("https://mitra.stanford.edu/kundaje/oak/projects/neuro-variants/variant_position/credible/roussos_2024/variant_figures/roussos_2024.childhood.GLU/rs6590093_profile_position.png",4,220,900)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0.0848832588</v>
      </c>
      <c r="G657" t="n">
        <v>0.061784660419202</v>
      </c>
      <c r="H657" t="n">
        <v>0.010664652607742</v>
      </c>
      <c r="I657" t="n">
        <v>0.5928563646057035</v>
      </c>
      <c r="J657" t="n">
        <v>0.0122946006366735</v>
      </c>
      <c r="K657" t="n">
        <v>0.563514115528491</v>
      </c>
      <c r="L657" t="b">
        <v>0</v>
      </c>
      <c r="M657" t="b">
        <v>0</v>
      </c>
      <c r="N657" t="inlineStr">
        <is>
          <t>alt</t>
        </is>
      </c>
      <c r="O657" t="n">
        <v>85</v>
      </c>
      <c r="P657" t="n">
        <v>0.001404</v>
      </c>
      <c r="Q657" t="n">
        <v>15</v>
      </c>
      <c r="R657" t="n">
        <v>0.04895</v>
      </c>
      <c r="S657">
        <f>IMAGE("https://mitra.stanford.edu/kundaje/oak/projects/neuro-variants/variant_position/credible/roussos_2024/variant_figures/roussos_2024.childhood.GLU/rs11601322_count_position.png",4,220,900)</f>
        <v/>
      </c>
      <c r="T657">
        <f>IMAGE("https://mitra.stanford.edu/kundaje/oak/projects/neuro-variants/variant_position/credible/roussos_2024/variant_figures/roussos_2024.childhood.GLU/rs11601322_profile_position.png",4,220,900)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-0.0174391870799999</v>
      </c>
      <c r="G658" t="n">
        <v>0.4935379291840145</v>
      </c>
      <c r="H658" t="n">
        <v>0.0386073635289899</v>
      </c>
      <c r="I658" t="n">
        <v>0.0074737681324969</v>
      </c>
      <c r="J658" t="n">
        <v>0.0016885244212759</v>
      </c>
      <c r="K658" t="n">
        <v>0.7808909064873276</v>
      </c>
      <c r="L658" t="b">
        <v>0</v>
      </c>
      <c r="M658" t="b">
        <v>0</v>
      </c>
      <c r="N658" t="inlineStr">
        <is>
          <t>ref</t>
        </is>
      </c>
      <c r="O658" t="n">
        <v>15</v>
      </c>
      <c r="P658" t="n">
        <v>0.001251</v>
      </c>
      <c r="Q658" t="n">
        <v>80</v>
      </c>
      <c r="R658" t="n">
        <v>0.0833</v>
      </c>
      <c r="S658">
        <f>IMAGE("https://mitra.stanford.edu/kundaje/oak/projects/neuro-variants/variant_position/credible/roussos_2024/variant_figures/roussos_2024.childhood.GLU/rs7938753_count_position.png",4,220,900)</f>
        <v/>
      </c>
      <c r="T658">
        <f>IMAGE("https://mitra.stanford.edu/kundaje/oak/projects/neuro-variants/variant_position/credible/roussos_2024/variant_figures/roussos_2024.childhood.GLU/rs7938753_profile_position.png",4,220,900)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-0.0385992161999999</v>
      </c>
      <c r="G659" t="n">
        <v>0.2655566416677769</v>
      </c>
      <c r="H659" t="n">
        <v>0.0329538623139759</v>
      </c>
      <c r="I659" t="n">
        <v>0.0143218881463628</v>
      </c>
      <c r="J659" t="n">
        <v>0.0281228429847424</v>
      </c>
      <c r="K659" t="n">
        <v>0.4354532109982492</v>
      </c>
      <c r="L659" t="b">
        <v>1</v>
      </c>
      <c r="M659" t="b">
        <v>0</v>
      </c>
      <c r="N659" t="inlineStr">
        <is>
          <t>ref</t>
        </is>
      </c>
      <c r="O659" t="n">
        <v>-85</v>
      </c>
      <c r="P659" t="n">
        <v>0.01936</v>
      </c>
      <c r="Q659" t="n">
        <v>10</v>
      </c>
      <c r="R659" t="n">
        <v>0.01663</v>
      </c>
      <c r="S659">
        <f>IMAGE("https://mitra.stanford.edu/kundaje/oak/projects/neuro-variants/variant_position/credible/roussos_2024/variant_figures/roussos_2024.childhood.GLU/rs35274053_count_position.png",4,220,900)</f>
        <v/>
      </c>
      <c r="T659">
        <f>IMAGE("https://mitra.stanford.edu/kundaje/oak/projects/neuro-variants/variant_position/credible/roussos_2024/variant_figures/roussos_2024.childhood.GLU/rs35274053_profile_position.png",4,220,900)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0.0107624079199999</v>
      </c>
      <c r="G660" t="n">
        <v>0.6513120044841604</v>
      </c>
      <c r="H660" t="n">
        <v>0.009722536990694799</v>
      </c>
      <c r="I660" t="n">
        <v>0.6884497876123371</v>
      </c>
      <c r="J660" t="n">
        <v>0.0355064027939464</v>
      </c>
      <c r="K660" t="n">
        <v>0.4113811672992446</v>
      </c>
      <c r="L660" t="b">
        <v>0</v>
      </c>
      <c r="M660" t="b">
        <v>0</v>
      </c>
      <c r="N660" t="inlineStr">
        <is>
          <t>alt</t>
        </is>
      </c>
      <c r="O660" t="n">
        <v>25</v>
      </c>
      <c r="P660" t="n">
        <v>0.00194</v>
      </c>
      <c r="Q660" t="n">
        <v>-15</v>
      </c>
      <c r="R660" t="n">
        <v>0.05478</v>
      </c>
      <c r="S660">
        <f>IMAGE("https://mitra.stanford.edu/kundaje/oak/projects/neuro-variants/variant_position/credible/roussos_2024/variant_figures/roussos_2024.childhood.GLU/rs10791102_count_position.png",4,220,900)</f>
        <v/>
      </c>
      <c r="T660">
        <f>IMAGE("https://mitra.stanford.edu/kundaje/oak/projects/neuro-variants/variant_position/credible/roussos_2024/variant_figures/roussos_2024.childhood.GLU/rs10791102_profile_position.png",4,220,900)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-0.042651071</v>
      </c>
      <c r="G661" t="n">
        <v>0.229840123944491</v>
      </c>
      <c r="H661" t="n">
        <v>0.0124352548167013</v>
      </c>
      <c r="I661" t="n">
        <v>0.4106139365408691</v>
      </c>
      <c r="J661" t="n">
        <v>0.1423089206424428</v>
      </c>
      <c r="K661" t="n">
        <v>0.199295856250396</v>
      </c>
      <c r="L661" t="b">
        <v>0</v>
      </c>
      <c r="M661" t="b">
        <v>0</v>
      </c>
      <c r="N661" t="inlineStr">
        <is>
          <t>ref</t>
        </is>
      </c>
      <c r="O661" t="n">
        <v>55</v>
      </c>
      <c r="P661" t="n">
        <v>0.01282</v>
      </c>
      <c r="Q661" t="n">
        <v>90</v>
      </c>
      <c r="R661" t="n">
        <v>0.09032999999999999</v>
      </c>
      <c r="S661">
        <f>IMAGE("https://mitra.stanford.edu/kundaje/oak/projects/neuro-variants/variant_position/credible/roussos_2024/variant_figures/roussos_2024.childhood.GLU/rs10894286_count_position.png",4,220,900)</f>
        <v/>
      </c>
      <c r="T661">
        <f>IMAGE("https://mitra.stanford.edu/kundaje/oak/projects/neuro-variants/variant_position/credible/roussos_2024/variant_figures/roussos_2024.childhood.GLU/rs10894286_profile_position.png",4,220,900)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-0.0756985019999999</v>
      </c>
      <c r="G662" t="n">
        <v>0.0875119370007563</v>
      </c>
      <c r="H662" t="n">
        <v>0.0217358265990554</v>
      </c>
      <c r="I662" t="n">
        <v>0.0725360239604452</v>
      </c>
      <c r="J662" t="n">
        <v>0.0337045545860075</v>
      </c>
      <c r="K662" t="n">
        <v>0.406110119766856</v>
      </c>
      <c r="L662" t="b">
        <v>0</v>
      </c>
      <c r="M662" t="b">
        <v>0</v>
      </c>
      <c r="N662" t="inlineStr">
        <is>
          <t>ref</t>
        </is>
      </c>
      <c r="O662" t="n">
        <v>-100</v>
      </c>
      <c r="P662" t="n">
        <v>0.02515</v>
      </c>
      <c r="Q662" t="n">
        <v>-70</v>
      </c>
      <c r="R662" t="n">
        <v>0.2476</v>
      </c>
      <c r="S662">
        <f>IMAGE("https://mitra.stanford.edu/kundaje/oak/projects/neuro-variants/variant_position/credible/roussos_2024/variant_figures/roussos_2024.childhood.GLU/rs11222406_count_position.png",4,220,900)</f>
        <v/>
      </c>
      <c r="T662">
        <f>IMAGE("https://mitra.stanford.edu/kundaje/oak/projects/neuro-variants/variant_position/credible/roussos_2024/variant_figures/roussos_2024.childhood.GLU/rs11222406_profile_position.png",4,220,900)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0.004561612</v>
      </c>
      <c r="G663" t="n">
        <v>0.6635067956035704</v>
      </c>
      <c r="H663" t="n">
        <v>0.0260790997141626</v>
      </c>
      <c r="I663" t="n">
        <v>0.0364422123584612</v>
      </c>
      <c r="J663" t="n">
        <v>0.0014381818743753</v>
      </c>
      <c r="K663" t="n">
        <v>0.7985640764376283</v>
      </c>
      <c r="L663" t="b">
        <v>0</v>
      </c>
      <c r="M663" t="b">
        <v>0</v>
      </c>
      <c r="N663" t="inlineStr">
        <is>
          <t>alt</t>
        </is>
      </c>
      <c r="O663" t="n">
        <v>30</v>
      </c>
      <c r="P663" t="n">
        <v>0.00383</v>
      </c>
      <c r="Q663" t="n">
        <v>-35</v>
      </c>
      <c r="R663" t="n">
        <v>0.02887</v>
      </c>
      <c r="S663">
        <f>IMAGE("https://mitra.stanford.edu/kundaje/oak/projects/neuro-variants/variant_position/credible/roussos_2024/variant_figures/roussos_2024.childhood.GLU/rs10894307_count_position.png",4,220,900)</f>
        <v/>
      </c>
      <c r="T663">
        <f>IMAGE("https://mitra.stanford.edu/kundaje/oak/projects/neuro-variants/variant_position/credible/roussos_2024/variant_figures/roussos_2024.childhood.GLU/rs10894307_profile_position.png",4,220,900)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-0.0620613067999999</v>
      </c>
      <c r="G664" t="n">
        <v>0.1408399960681579</v>
      </c>
      <c r="H664" t="n">
        <v>0.0179965448067135</v>
      </c>
      <c r="I664" t="n">
        <v>0.1421388502194466</v>
      </c>
      <c r="J664" t="n">
        <v>0.0006335829890693</v>
      </c>
      <c r="K664" t="n">
        <v>0.8542534733584123</v>
      </c>
      <c r="L664" t="b">
        <v>0</v>
      </c>
      <c r="M664" t="b">
        <v>0</v>
      </c>
      <c r="N664" t="inlineStr">
        <is>
          <t>ref</t>
        </is>
      </c>
      <c r="O664" t="n">
        <v>90</v>
      </c>
      <c r="P664" t="n">
        <v>0.0198</v>
      </c>
      <c r="Q664" t="n">
        <v>-100</v>
      </c>
      <c r="R664" t="n">
        <v>0.1552</v>
      </c>
      <c r="S664">
        <f>IMAGE("https://mitra.stanford.edu/kundaje/oak/projects/neuro-variants/variant_position/credible/roussos_2024/variant_figures/roussos_2024.childhood.GLU/rs10894308_count_position.png",4,220,900)</f>
        <v/>
      </c>
      <c r="T664">
        <f>IMAGE("https://mitra.stanford.edu/kundaje/oak/projects/neuro-variants/variant_position/credible/roussos_2024/variant_figures/roussos_2024.childhood.GLU/rs10894308_profile_position.png",4,220,900)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-0.19537232</v>
      </c>
      <c r="G665" t="n">
        <v>0.008237274885910299</v>
      </c>
      <c r="H665" t="n">
        <v>0.0261765196414106</v>
      </c>
      <c r="I665" t="n">
        <v>0.0375976450084828</v>
      </c>
      <c r="J665" t="n">
        <v>0.0093100641824718</v>
      </c>
      <c r="K665" t="n">
        <v>0.5976408415698736</v>
      </c>
      <c r="L665" t="b">
        <v>1</v>
      </c>
      <c r="M665" t="b">
        <v>1</v>
      </c>
      <c r="N665" t="inlineStr">
        <is>
          <t>ref</t>
        </is>
      </c>
      <c r="O665" t="n">
        <v>85</v>
      </c>
      <c r="P665" t="n">
        <v>0.004566</v>
      </c>
      <c r="Q665" t="n">
        <v>85</v>
      </c>
      <c r="R665" t="n">
        <v>0.0762</v>
      </c>
      <c r="S665">
        <f>IMAGE("https://mitra.stanford.edu/kundaje/oak/projects/neuro-variants/variant_position/credible/roussos_2024/variant_figures/roussos_2024.childhood.GLU/rs74349870_count_position.png",4,220,900)</f>
        <v/>
      </c>
      <c r="T665">
        <f>IMAGE("https://mitra.stanford.edu/kundaje/oak/projects/neuro-variants/variant_position/credible/roussos_2024/variant_figures/roussos_2024.childhood.GLU/rs74349870_profile_position.png",4,220,900)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0.00389146444</v>
      </c>
      <c r="G666" t="n">
        <v>0.8062094545265658</v>
      </c>
      <c r="H666" t="n">
        <v>0.0245181277667998</v>
      </c>
      <c r="I666" t="n">
        <v>0.0461968542890185</v>
      </c>
      <c r="J666" t="n">
        <v>0.0041291066994961</v>
      </c>
      <c r="K666" t="n">
        <v>0.6942703740958956</v>
      </c>
      <c r="L666" t="b">
        <v>0</v>
      </c>
      <c r="M666" t="b">
        <v>0</v>
      </c>
      <c r="N666" t="inlineStr">
        <is>
          <t>alt</t>
        </is>
      </c>
      <c r="O666" t="n">
        <v>-85</v>
      </c>
      <c r="P666" t="n">
        <v>0.003235</v>
      </c>
      <c r="Q666" t="n">
        <v>-55</v>
      </c>
      <c r="R666" t="n">
        <v>0.1283</v>
      </c>
      <c r="S666">
        <f>IMAGE("https://mitra.stanford.edu/kundaje/oak/projects/neuro-variants/variant_position/credible/roussos_2024/variant_figures/roussos_2024.childhood.GLU/rs540409_count_position.png",4,220,900)</f>
        <v/>
      </c>
      <c r="T666">
        <f>IMAGE("https://mitra.stanford.edu/kundaje/oak/projects/neuro-variants/variant_position/credible/roussos_2024/variant_figures/roussos_2024.childhood.GLU/rs540409_profile_position.png",4,220,900)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-0.015742632488</v>
      </c>
      <c r="G667" t="n">
        <v>0.5340010416496356</v>
      </c>
      <c r="H667" t="n">
        <v>0.009460681929983001</v>
      </c>
      <c r="I667" t="n">
        <v>0.7213875055002792</v>
      </c>
      <c r="J667" t="n">
        <v>0.1872933128663705</v>
      </c>
      <c r="K667" t="n">
        <v>0.1563593389307052</v>
      </c>
      <c r="L667" t="b">
        <v>0</v>
      </c>
      <c r="M667" t="b">
        <v>0</v>
      </c>
      <c r="N667" t="inlineStr">
        <is>
          <t>ref</t>
        </is>
      </c>
      <c r="O667" t="n">
        <v>-40</v>
      </c>
      <c r="P667" t="n">
        <v>0.001595</v>
      </c>
      <c r="Q667" t="n">
        <v>55</v>
      </c>
      <c r="R667" t="n">
        <v>0.01511</v>
      </c>
      <c r="S667">
        <f>IMAGE("https://mitra.stanford.edu/kundaje/oak/projects/neuro-variants/variant_position/credible/roussos_2024/variant_figures/roussos_2024.childhood.GLU/rs407056_count_position.png",4,220,900)</f>
        <v/>
      </c>
      <c r="T667">
        <f>IMAGE("https://mitra.stanford.edu/kundaje/oak/projects/neuro-variants/variant_position/credible/roussos_2024/variant_figures/roussos_2024.childhood.GLU/rs407056_profile_position.png",4,220,900)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0.07813721680000001</v>
      </c>
      <c r="G668" t="n">
        <v>0.0727949023651976</v>
      </c>
      <c r="H668" t="n">
        <v>0.014839134467262</v>
      </c>
      <c r="I668" t="n">
        <v>0.2535849265773925</v>
      </c>
      <c r="J668" t="n">
        <v>0.4375091431691512</v>
      </c>
      <c r="K668" t="n">
        <v>0.0552315237178438</v>
      </c>
      <c r="L668" t="b">
        <v>0</v>
      </c>
      <c r="M668" t="b">
        <v>0</v>
      </c>
      <c r="N668" t="inlineStr">
        <is>
          <t>alt</t>
        </is>
      </c>
      <c r="O668" t="n">
        <v>-50</v>
      </c>
      <c r="P668" t="n">
        <v>0.006958</v>
      </c>
      <c r="Q668" t="n">
        <v>-45</v>
      </c>
      <c r="R668" t="n">
        <v>0.04346</v>
      </c>
      <c r="S668">
        <f>IMAGE("https://mitra.stanford.edu/kundaje/oak/projects/neuro-variants/variant_position/credible/roussos_2024/variant_figures/roussos_2024.childhood.GLU/rs408376_count_position.png",4,220,900)</f>
        <v/>
      </c>
      <c r="T668">
        <f>IMAGE("https://mitra.stanford.edu/kundaje/oak/projects/neuro-variants/variant_position/credible/roussos_2024/variant_figures/roussos_2024.childhood.GLU/rs408376_profile_position.png",4,220,900)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0.0062519498799999</v>
      </c>
      <c r="G669" t="n">
        <v>0.7492319721248641</v>
      </c>
      <c r="H669" t="n">
        <v>0.0069177208324002</v>
      </c>
      <c r="I669" t="n">
        <v>0.9520207175393948</v>
      </c>
      <c r="J669" t="n">
        <v>0.2121895185799499</v>
      </c>
      <c r="K669" t="n">
        <v>0.139634330094437</v>
      </c>
      <c r="L669" t="b">
        <v>0</v>
      </c>
      <c r="M669" t="b">
        <v>0</v>
      </c>
      <c r="N669" t="inlineStr">
        <is>
          <t>alt</t>
        </is>
      </c>
      <c r="O669" t="n">
        <v>-100</v>
      </c>
      <c r="P669" t="n">
        <v>0.02863</v>
      </c>
      <c r="Q669" t="n">
        <v>-100</v>
      </c>
      <c r="R669" t="n">
        <v>0.3547</v>
      </c>
      <c r="S669">
        <f>IMAGE("https://mitra.stanford.edu/kundaje/oak/projects/neuro-variants/variant_position/credible/roussos_2024/variant_figures/roussos_2024.childhood.GLU/rs12279734_count_position.png",4,220,900)</f>
        <v/>
      </c>
      <c r="T669">
        <f>IMAGE("https://mitra.stanford.edu/kundaje/oak/projects/neuro-variants/variant_position/credible/roussos_2024/variant_figures/roussos_2024.childhood.GLU/rs12279734_profile_position.png",4,220,900)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0.032083029</v>
      </c>
      <c r="G670" t="n">
        <v>0.2999704576323417</v>
      </c>
      <c r="H670" t="n">
        <v>0.013163969208901</v>
      </c>
      <c r="I670" t="n">
        <v>0.356339034718541</v>
      </c>
      <c r="J670" t="n">
        <v>0.1241596011002709</v>
      </c>
      <c r="K670" t="n">
        <v>0.2194227879915103</v>
      </c>
      <c r="L670" t="b">
        <v>0</v>
      </c>
      <c r="M670" t="b">
        <v>0</v>
      </c>
      <c r="N670" t="inlineStr">
        <is>
          <t>alt</t>
        </is>
      </c>
      <c r="O670" t="n">
        <v>100</v>
      </c>
      <c r="P670" t="n">
        <v>0.008965000000000001</v>
      </c>
      <c r="Q670" t="n">
        <v>100</v>
      </c>
      <c r="R670" t="n">
        <v>0.3115</v>
      </c>
      <c r="S670">
        <f>IMAGE("https://mitra.stanford.edu/kundaje/oak/projects/neuro-variants/variant_position/credible/roussos_2024/variant_figures/roussos_2024.childhood.GLU/rs401560_count_position.png",4,220,900)</f>
        <v/>
      </c>
      <c r="T670">
        <f>IMAGE("https://mitra.stanford.edu/kundaje/oak/projects/neuro-variants/variant_position/credible/roussos_2024/variant_figures/roussos_2024.childhood.GLU/rs401560_profile_position.png",4,220,900)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-0.175850124</v>
      </c>
      <c r="G671" t="n">
        <v>0.0108582470893207</v>
      </c>
      <c r="H671" t="n">
        <v>0.0296330038362225</v>
      </c>
      <c r="I671" t="n">
        <v>0.0218574180188882</v>
      </c>
      <c r="J671" t="n">
        <v>0.1311825852246386</v>
      </c>
      <c r="K671" t="n">
        <v>0.2116884989358374</v>
      </c>
      <c r="L671" t="b">
        <v>1</v>
      </c>
      <c r="M671" t="b">
        <v>0</v>
      </c>
      <c r="N671" t="inlineStr">
        <is>
          <t>ref</t>
        </is>
      </c>
      <c r="O671" t="n">
        <v>95</v>
      </c>
      <c r="P671" t="n">
        <v>0.0257</v>
      </c>
      <c r="Q671" t="n">
        <v>-35</v>
      </c>
      <c r="R671" t="n">
        <v>0.0398</v>
      </c>
      <c r="S671">
        <f>IMAGE("https://mitra.stanford.edu/kundaje/oak/projects/neuro-variants/variant_position/credible/roussos_2024/variant_figures/roussos_2024.childhood.GLU/rs390812_count_position.png",4,220,900)</f>
        <v/>
      </c>
      <c r="T671">
        <f>IMAGE("https://mitra.stanford.edu/kundaje/oak/projects/neuro-variants/variant_position/credible/roussos_2024/variant_figures/roussos_2024.childhood.GLU/rs390812_profile_position.png",4,220,900)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0.02172676314</v>
      </c>
      <c r="G672" t="n">
        <v>0.446784999627263</v>
      </c>
      <c r="H672" t="n">
        <v>0.026617204753766</v>
      </c>
      <c r="I672" t="n">
        <v>0.0342203642265492</v>
      </c>
      <c r="J672" t="n">
        <v>0.0454057506670649</v>
      </c>
      <c r="K672" t="n">
        <v>0.3685321168246437</v>
      </c>
      <c r="L672" t="b">
        <v>0</v>
      </c>
      <c r="M672" t="b">
        <v>0</v>
      </c>
      <c r="N672" t="inlineStr">
        <is>
          <t>alt</t>
        </is>
      </c>
      <c r="O672" t="n">
        <v>30</v>
      </c>
      <c r="P672" t="n">
        <v>0.001862</v>
      </c>
      <c r="Q672" t="n">
        <v>75</v>
      </c>
      <c r="R672" t="n">
        <v>0.034</v>
      </c>
      <c r="S672">
        <f>IMAGE("https://mitra.stanford.edu/kundaje/oak/projects/neuro-variants/variant_position/credible/roussos_2024/variant_figures/roussos_2024.childhood.GLU/rs378523_count_position.png",4,220,900)</f>
        <v/>
      </c>
      <c r="T672">
        <f>IMAGE("https://mitra.stanford.edu/kundaje/oak/projects/neuro-variants/variant_position/credible/roussos_2024/variant_figures/roussos_2024.childhood.GLU/rs378523_profile_position.png",4,220,900)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0.144450082</v>
      </c>
      <c r="G673" t="n">
        <v>0.0183746458586313</v>
      </c>
      <c r="H673" t="n">
        <v>0.0302390885176019</v>
      </c>
      <c r="I673" t="n">
        <v>0.0221064152087796</v>
      </c>
      <c r="J673" t="n">
        <v>0.0499716690533342</v>
      </c>
      <c r="K673" t="n">
        <v>0.3565540182288408</v>
      </c>
      <c r="L673" t="b">
        <v>1</v>
      </c>
      <c r="M673" t="b">
        <v>0</v>
      </c>
      <c r="N673" t="inlineStr">
        <is>
          <t>alt</t>
        </is>
      </c>
      <c r="O673" t="n">
        <v>-55</v>
      </c>
      <c r="P673" t="n">
        <v>0.00582</v>
      </c>
      <c r="Q673" t="n">
        <v>-60</v>
      </c>
      <c r="R673" t="n">
        <v>0.02063</v>
      </c>
      <c r="S673">
        <f>IMAGE("https://mitra.stanford.edu/kundaje/oak/projects/neuro-variants/variant_position/credible/roussos_2024/variant_figures/roussos_2024.childhood.GLU/rs451456_count_position.png",4,220,900)</f>
        <v/>
      </c>
      <c r="T673">
        <f>IMAGE("https://mitra.stanford.edu/kundaje/oak/projects/neuro-variants/variant_position/credible/roussos_2024/variant_figures/roussos_2024.childhood.GLU/rs451456_profile_position.png",4,220,900)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0.00278238514</v>
      </c>
      <c r="G674" t="n">
        <v>0.7848602073894841</v>
      </c>
      <c r="H674" t="n">
        <v>0.0085661108801127</v>
      </c>
      <c r="I674" t="n">
        <v>0.8242239838839978</v>
      </c>
      <c r="J674" t="n">
        <v>0.0160796151112118</v>
      </c>
      <c r="K674" t="n">
        <v>0.5218043524909448</v>
      </c>
      <c r="L674" t="b">
        <v>0</v>
      </c>
      <c r="M674" t="b">
        <v>0</v>
      </c>
      <c r="N674" t="inlineStr">
        <is>
          <t>alt</t>
        </is>
      </c>
      <c r="O674" t="n">
        <v>75</v>
      </c>
      <c r="P674" t="n">
        <v>0.002424</v>
      </c>
      <c r="Q674" t="n">
        <v>-50</v>
      </c>
      <c r="R674" t="n">
        <v>0.06859999999999999</v>
      </c>
      <c r="S674">
        <f>IMAGE("https://mitra.stanford.edu/kundaje/oak/projects/neuro-variants/variant_position/credible/roussos_2024/variant_figures/roussos_2024.childhood.GLU/rs405479_count_position.png",4,220,900)</f>
        <v/>
      </c>
      <c r="T674">
        <f>IMAGE("https://mitra.stanford.edu/kundaje/oak/projects/neuro-variants/variant_position/credible/roussos_2024/variant_figures/roussos_2024.childhood.GLU/rs405479_profile_position.png",4,220,900)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-0.01499704186</v>
      </c>
      <c r="G675" t="n">
        <v>0.5536754251667506</v>
      </c>
      <c r="H675" t="n">
        <v>0.0279222785451355</v>
      </c>
      <c r="I675" t="n">
        <v>0.0287120772841632</v>
      </c>
      <c r="J675" t="n">
        <v>0.0241997795337241</v>
      </c>
      <c r="K675" t="n">
        <v>0.4614331071826117</v>
      </c>
      <c r="L675" t="b">
        <v>0</v>
      </c>
      <c r="M675" t="b">
        <v>0</v>
      </c>
      <c r="N675" t="inlineStr">
        <is>
          <t>ref</t>
        </is>
      </c>
      <c r="O675" t="n">
        <v>95</v>
      </c>
      <c r="P675" t="n">
        <v>0.01189</v>
      </c>
      <c r="Q675" t="n">
        <v>90</v>
      </c>
      <c r="R675" t="n">
        <v>0.2122</v>
      </c>
      <c r="S675">
        <f>IMAGE("https://mitra.stanford.edu/kundaje/oak/projects/neuro-variants/variant_position/credible/roussos_2024/variant_figures/roussos_2024.childhood.GLU/rs426913_count_position.png",4,220,900)</f>
        <v/>
      </c>
      <c r="T675">
        <f>IMAGE("https://mitra.stanford.edu/kundaje/oak/projects/neuro-variants/variant_position/credible/roussos_2024/variant_figures/roussos_2024.childhood.GLU/rs426913_profile_position.png",4,220,900)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0.009273023260000001</v>
      </c>
      <c r="G676" t="n">
        <v>0.656887437624321</v>
      </c>
      <c r="H676" t="n">
        <v>0.0223260014471288</v>
      </c>
      <c r="I676" t="n">
        <v>0.0667630593783695</v>
      </c>
      <c r="J676" t="n">
        <v>0.0037118691213285</v>
      </c>
      <c r="K676" t="n">
        <v>0.7202719628216701</v>
      </c>
      <c r="L676" t="b">
        <v>0</v>
      </c>
      <c r="M676" t="b">
        <v>0</v>
      </c>
      <c r="N676" t="inlineStr">
        <is>
          <t>alt</t>
        </is>
      </c>
      <c r="O676" t="n">
        <v>-100</v>
      </c>
      <c r="P676" t="n">
        <v>0.01554</v>
      </c>
      <c r="Q676" t="n">
        <v>55</v>
      </c>
      <c r="R676" t="n">
        <v>0.1165</v>
      </c>
      <c r="S676">
        <f>IMAGE("https://mitra.stanford.edu/kundaje/oak/projects/neuro-variants/variant_position/credible/roussos_2024/variant_figures/roussos_2024.childhood.GLU/rs7119976_count_position.png",4,220,900)</f>
        <v/>
      </c>
      <c r="T676">
        <f>IMAGE("https://mitra.stanford.edu/kundaje/oak/projects/neuro-variants/variant_position/credible/roussos_2024/variant_figures/roussos_2024.childhood.GLU/rs7119976_profile_position.png",4,220,900)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-0.00075973714</v>
      </c>
      <c r="G677" t="n">
        <v>0.7769354198666628</v>
      </c>
      <c r="H677" t="n">
        <v>0.018564272013711</v>
      </c>
      <c r="I677" t="n">
        <v>0.1315621365276425</v>
      </c>
      <c r="J677" t="n">
        <v>0.0001905900048419</v>
      </c>
      <c r="K677" t="n">
        <v>0.9145744447314188</v>
      </c>
      <c r="L677" t="b">
        <v>0</v>
      </c>
      <c r="M677" t="b">
        <v>0</v>
      </c>
      <c r="N677" t="inlineStr">
        <is>
          <t>ref</t>
        </is>
      </c>
      <c r="O677" t="n">
        <v>80</v>
      </c>
      <c r="P677" t="n">
        <v>0.00649</v>
      </c>
      <c r="Q677" t="n">
        <v>5</v>
      </c>
      <c r="R677" t="n">
        <v>0.000977</v>
      </c>
      <c r="S677">
        <f>IMAGE("https://mitra.stanford.edu/kundaje/oak/projects/neuro-variants/variant_position/credible/roussos_2024/variant_figures/roussos_2024.childhood.GLU/rs7106636_count_position.png",4,220,900)</f>
        <v/>
      </c>
      <c r="T677">
        <f>IMAGE("https://mitra.stanford.edu/kundaje/oak/projects/neuro-variants/variant_position/credible/roussos_2024/variant_figures/roussos_2024.childhood.GLU/rs7106636_profile_position.png",4,220,900)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0.0141853592</v>
      </c>
      <c r="G678" t="n">
        <v>0.5670610698519382</v>
      </c>
      <c r="H678" t="n">
        <v>0.0357784825768389</v>
      </c>
      <c r="I678" t="n">
        <v>0.0103484991452747</v>
      </c>
      <c r="J678" t="n">
        <v>0.0004718390390142</v>
      </c>
      <c r="K678" t="n">
        <v>0.8708787553430414</v>
      </c>
      <c r="L678" t="b">
        <v>0</v>
      </c>
      <c r="M678" t="b">
        <v>0</v>
      </c>
      <c r="N678" t="inlineStr">
        <is>
          <t>alt</t>
        </is>
      </c>
      <c r="O678" t="n">
        <v>-30</v>
      </c>
      <c r="P678" t="n">
        <v>0.008965000000000001</v>
      </c>
      <c r="Q678" t="n">
        <v>45</v>
      </c>
      <c r="R678" t="n">
        <v>0.03497</v>
      </c>
      <c r="S678">
        <f>IMAGE("https://mitra.stanford.edu/kundaje/oak/projects/neuro-variants/variant_position/credible/roussos_2024/variant_figures/roussos_2024.childhood.GLU/rs2155540_count_position.png",4,220,900)</f>
        <v/>
      </c>
      <c r="T678">
        <f>IMAGE("https://mitra.stanford.edu/kundaje/oak/projects/neuro-variants/variant_position/credible/roussos_2024/variant_figures/roussos_2024.childhood.GLU/rs2155540_profile_position.png",4,220,900)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-0.04102350436</v>
      </c>
      <c r="G679" t="n">
        <v>0.2503770810314535</v>
      </c>
      <c r="H679" t="n">
        <v>0.0224290125698183</v>
      </c>
      <c r="I679" t="n">
        <v>0.06553381527995999</v>
      </c>
      <c r="J679" t="n">
        <v>0.0168677305366395</v>
      </c>
      <c r="K679" t="n">
        <v>0.5322800623744194</v>
      </c>
      <c r="L679" t="b">
        <v>0</v>
      </c>
      <c r="M679" t="b">
        <v>0</v>
      </c>
      <c r="N679" t="inlineStr">
        <is>
          <t>ref</t>
        </is>
      </c>
      <c r="O679" t="n">
        <v>25</v>
      </c>
      <c r="P679" t="n">
        <v>0.000839</v>
      </c>
      <c r="Q679" t="n">
        <v>60</v>
      </c>
      <c r="R679" t="n">
        <v>0.08984</v>
      </c>
      <c r="S679">
        <f>IMAGE("https://mitra.stanford.edu/kundaje/oak/projects/neuro-variants/variant_position/credible/roussos_2024/variant_figures/roussos_2024.childhood.GLU/rs4937706_count_position.png",4,220,900)</f>
        <v/>
      </c>
      <c r="T679">
        <f>IMAGE("https://mitra.stanford.edu/kundaje/oak/projects/neuro-variants/variant_position/credible/roussos_2024/variant_figures/roussos_2024.childhood.GLU/rs4937706_profile_position.png",4,220,900)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0.47591335</v>
      </c>
      <c r="G680" t="n">
        <v>0.0003347491399016</v>
      </c>
      <c r="H680" t="n">
        <v>0.0517759565945163</v>
      </c>
      <c r="I680" t="n">
        <v>0.0024543361699049</v>
      </c>
      <c r="J680" t="n">
        <v>0.3232818568617552</v>
      </c>
      <c r="K680" t="n">
        <v>0.0884198405970494</v>
      </c>
      <c r="L680" t="b">
        <v>1</v>
      </c>
      <c r="M680" t="b">
        <v>1</v>
      </c>
      <c r="N680" t="inlineStr">
        <is>
          <t>alt</t>
        </is>
      </c>
      <c r="O680" t="n">
        <v>35</v>
      </c>
      <c r="P680" t="n">
        <v>0.006958</v>
      </c>
      <c r="Q680" t="n">
        <v>-55</v>
      </c>
      <c r="R680" t="n">
        <v>0.1035</v>
      </c>
      <c r="S680">
        <f>IMAGE("https://mitra.stanford.edu/kundaje/oak/projects/neuro-variants/variant_position/credible/roussos_2024/variant_figures/roussos_2024.childhood.GLU/rs4310627_count_position.png",4,220,900)</f>
        <v/>
      </c>
      <c r="T680">
        <f>IMAGE("https://mitra.stanford.edu/kundaje/oak/projects/neuro-variants/variant_position/credible/roussos_2024/variant_figures/roussos_2024.childhood.GLU/rs4310627_profile_position.png",4,220,900)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0.0028760747199999</v>
      </c>
      <c r="G681" t="n">
        <v>0.6629195662530304</v>
      </c>
      <c r="H681" t="n">
        <v>0.0265918587145466</v>
      </c>
      <c r="I681" t="n">
        <v>0.0339973139093943</v>
      </c>
      <c r="J681" t="n">
        <v>0.0505990707449493</v>
      </c>
      <c r="K681" t="n">
        <v>0.3593940939327399</v>
      </c>
      <c r="L681" t="b">
        <v>0</v>
      </c>
      <c r="M681" t="b">
        <v>0</v>
      </c>
      <c r="N681" t="inlineStr">
        <is>
          <t>alt</t>
        </is>
      </c>
      <c r="O681" t="n">
        <v>0</v>
      </c>
      <c r="P681" t="n">
        <v>0</v>
      </c>
      <c r="Q681" t="n">
        <v>-55</v>
      </c>
      <c r="R681" t="n">
        <v>0.02667</v>
      </c>
      <c r="S681">
        <f>IMAGE("https://mitra.stanford.edu/kundaje/oak/projects/neuro-variants/variant_position/credible/roussos_2024/variant_figures/roussos_2024.childhood.GLU/rs1939971_count_position.png",4,220,900)</f>
        <v/>
      </c>
      <c r="T681">
        <f>IMAGE("https://mitra.stanford.edu/kundaje/oak/projects/neuro-variants/variant_position/credible/roussos_2024/variant_figures/roussos_2024.childhood.GLU/rs1939971_profile_position.png",4,220,900)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-0.0518011766</v>
      </c>
      <c r="G682" t="n">
        <v>0.172992263528261</v>
      </c>
      <c r="H682" t="n">
        <v>0.0303975434321148</v>
      </c>
      <c r="I682" t="n">
        <v>0.0203508595246805</v>
      </c>
      <c r="J682" t="n">
        <v>0.0474692738005707</v>
      </c>
      <c r="K682" t="n">
        <v>0.3697577055410979</v>
      </c>
      <c r="L682" t="b">
        <v>0</v>
      </c>
      <c r="M682" t="b">
        <v>0</v>
      </c>
      <c r="N682" t="inlineStr">
        <is>
          <t>ref</t>
        </is>
      </c>
      <c r="O682" t="n">
        <v>-10</v>
      </c>
      <c r="P682" t="n">
        <v>0.001701</v>
      </c>
      <c r="Q682" t="n">
        <v>-70</v>
      </c>
      <c r="R682" t="n">
        <v>0.03625</v>
      </c>
      <c r="S682">
        <f>IMAGE("https://mitra.stanford.edu/kundaje/oak/projects/neuro-variants/variant_position/credible/roussos_2024/variant_figures/roussos_2024.childhood.GLU/rs1939970_count_position.png",4,220,900)</f>
        <v/>
      </c>
      <c r="T682">
        <f>IMAGE("https://mitra.stanford.edu/kundaje/oak/projects/neuro-variants/variant_position/credible/roussos_2024/variant_figures/roussos_2024.childhood.GLU/rs1939970_profile_position.png",4,220,900)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-0.0741183293999999</v>
      </c>
      <c r="G683" t="n">
        <v>0.0883188154075457</v>
      </c>
      <c r="H683" t="n">
        <v>0.0143888677100759</v>
      </c>
      <c r="I683" t="n">
        <v>0.2844249111299233</v>
      </c>
      <c r="J683" t="n">
        <v>0.1981394294662449</v>
      </c>
      <c r="K683" t="n">
        <v>0.1486012658651008</v>
      </c>
      <c r="L683" t="b">
        <v>0</v>
      </c>
      <c r="M683" t="b">
        <v>0</v>
      </c>
      <c r="N683" t="inlineStr">
        <is>
          <t>ref</t>
        </is>
      </c>
      <c r="O683" t="n">
        <v>-40</v>
      </c>
      <c r="P683" t="n">
        <v>0.0047</v>
      </c>
      <c r="Q683" t="n">
        <v>15</v>
      </c>
      <c r="R683" t="n">
        <v>0.003052</v>
      </c>
      <c r="S683">
        <f>IMAGE("https://mitra.stanford.edu/kundaje/oak/projects/neuro-variants/variant_position/credible/roussos_2024/variant_figures/roussos_2024.childhood.GLU/rs644487_count_position.png",4,220,900)</f>
        <v/>
      </c>
      <c r="T683">
        <f>IMAGE("https://mitra.stanford.edu/kundaje/oak/projects/neuro-variants/variant_position/credible/roussos_2024/variant_figures/roussos_2024.childhood.GLU/rs644487_profile_position.png",4,220,900)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-0.0082215481</v>
      </c>
      <c r="G684" t="n">
        <v>0.4750519735366673</v>
      </c>
      <c r="H684" t="n">
        <v>0.0103827918159228</v>
      </c>
      <c r="I684" t="n">
        <v>0.6172402213410831</v>
      </c>
      <c r="J684" t="n">
        <v>0.1983269288223597</v>
      </c>
      <c r="K684" t="n">
        <v>0.1485615872075458</v>
      </c>
      <c r="L684" t="b">
        <v>0</v>
      </c>
      <c r="M684" t="b">
        <v>0</v>
      </c>
      <c r="N684" t="inlineStr">
        <is>
          <t>ref</t>
        </is>
      </c>
      <c r="O684" t="n">
        <v>-50</v>
      </c>
      <c r="P684" t="n">
        <v>0.009900000000000001</v>
      </c>
      <c r="Q684" t="n">
        <v>0</v>
      </c>
      <c r="R684" t="n">
        <v>0</v>
      </c>
      <c r="S684">
        <f>IMAGE("https://mitra.stanford.edu/kundaje/oak/projects/neuro-variants/variant_position/credible/roussos_2024/variant_figures/roussos_2024.childhood.GLU/rs644475_count_position.png",4,220,900)</f>
        <v/>
      </c>
      <c r="T684">
        <f>IMAGE("https://mitra.stanford.edu/kundaje/oak/projects/neuro-variants/variant_position/credible/roussos_2024/variant_figures/roussos_2024.childhood.GLU/rs644475_profile_position.png",4,220,900)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0.1377483646</v>
      </c>
      <c r="G685" t="n">
        <v>0.0218309202129938</v>
      </c>
      <c r="H685" t="n">
        <v>0.0245237373016603</v>
      </c>
      <c r="I685" t="n">
        <v>0.0458379498331145</v>
      </c>
      <c r="J685" t="n">
        <v>0.1837339157489156</v>
      </c>
      <c r="K685" t="n">
        <v>0.1600663096154156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0.02716</v>
      </c>
      <c r="Q685" t="n">
        <v>25</v>
      </c>
      <c r="R685" t="n">
        <v>0.08840000000000001</v>
      </c>
      <c r="S685">
        <f>IMAGE("https://mitra.stanford.edu/kundaje/oak/projects/neuro-variants/variant_position/credible/roussos_2024/variant_figures/roussos_2024.childhood.GLU/rs654125_count_position.png",4,220,900)</f>
        <v/>
      </c>
      <c r="T685">
        <f>IMAGE("https://mitra.stanford.edu/kundaje/oak/projects/neuro-variants/variant_position/credible/roussos_2024/variant_figures/roussos_2024.childhood.GLU/rs654125_profile_position.png",4,220,900)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0.06298129259999991</v>
      </c>
      <c r="G686" t="n">
        <v>0.1241117548651225</v>
      </c>
      <c r="H686" t="n">
        <v>0.0148078984440044</v>
      </c>
      <c r="I686" t="n">
        <v>0.2609952472673084</v>
      </c>
      <c r="J686" t="n">
        <v>0.0622786322849165</v>
      </c>
      <c r="K686" t="n">
        <v>0.3184810486682815</v>
      </c>
      <c r="L686" t="b">
        <v>0</v>
      </c>
      <c r="M686" t="b">
        <v>0</v>
      </c>
      <c r="N686" t="inlineStr">
        <is>
          <t>alt</t>
        </is>
      </c>
      <c r="O686" t="n">
        <v>-100</v>
      </c>
      <c r="P686" t="n">
        <v>0.04565</v>
      </c>
      <c r="Q686" t="n">
        <v>-100</v>
      </c>
      <c r="R686" t="n">
        <v>0.2229</v>
      </c>
      <c r="S686">
        <f>IMAGE("https://mitra.stanford.edu/kundaje/oak/projects/neuro-variants/variant_position/credible/roussos_2024/variant_figures/roussos_2024.childhood.GLU/rs10894572_count_position.png",4,220,900)</f>
        <v/>
      </c>
      <c r="T686">
        <f>IMAGE("https://mitra.stanford.edu/kundaje/oak/projects/neuro-variants/variant_position/credible/roussos_2024/variant_figures/roussos_2024.childhood.GLU/rs10894572_profile_position.png",4,220,900)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-0.06487066380000001</v>
      </c>
      <c r="G687" t="n">
        <v>0.1175547642099833</v>
      </c>
      <c r="H687" t="n">
        <v>0.0258752361508875</v>
      </c>
      <c r="I687" t="n">
        <v>0.0380122213323912</v>
      </c>
      <c r="J687" t="n">
        <v>0.0023736182224648</v>
      </c>
      <c r="K687" t="n">
        <v>0.7667021112258633</v>
      </c>
      <c r="L687" t="b">
        <v>0</v>
      </c>
      <c r="M687" t="b">
        <v>0</v>
      </c>
      <c r="N687" t="inlineStr">
        <is>
          <t>ref</t>
        </is>
      </c>
      <c r="O687" t="n">
        <v>-45</v>
      </c>
      <c r="P687" t="n">
        <v>0.00104</v>
      </c>
      <c r="Q687" t="n">
        <v>100</v>
      </c>
      <c r="R687" t="n">
        <v>0.063</v>
      </c>
      <c r="S687">
        <f>IMAGE("https://mitra.stanford.edu/kundaje/oak/projects/neuro-variants/variant_position/credible/roussos_2024/variant_figures/roussos_2024.childhood.GLU/rs639254_count_position.png",4,220,900)</f>
        <v/>
      </c>
      <c r="T687">
        <f>IMAGE("https://mitra.stanford.edu/kundaje/oak/projects/neuro-variants/variant_position/credible/roussos_2024/variant_figures/roussos_2024.childhood.GLU/rs639254_profile_position.png",4,220,900)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0.0138672730799999</v>
      </c>
      <c r="G688" t="n">
        <v>0.4838364537122023</v>
      </c>
      <c r="H688" t="n">
        <v>0.0106214778385091</v>
      </c>
      <c r="I688" t="n">
        <v>0.5894110174088002</v>
      </c>
      <c r="J688" t="n">
        <v>0.0021655145415022</v>
      </c>
      <c r="K688" t="n">
        <v>0.7652771877386111</v>
      </c>
      <c r="L688" t="b">
        <v>0</v>
      </c>
      <c r="M688" t="b">
        <v>0</v>
      </c>
      <c r="N688" t="inlineStr">
        <is>
          <t>alt</t>
        </is>
      </c>
      <c r="O688" t="n">
        <v>-100</v>
      </c>
      <c r="P688" t="n">
        <v>0.1342</v>
      </c>
      <c r="Q688" t="n">
        <v>-45</v>
      </c>
      <c r="R688" t="n">
        <v>0.008484</v>
      </c>
      <c r="S688">
        <f>IMAGE("https://mitra.stanford.edu/kundaje/oak/projects/neuro-variants/variant_position/credible/roussos_2024/variant_figures/roussos_2024.childhood.GLU/rs2508976_count_position.png",4,220,900)</f>
        <v/>
      </c>
      <c r="T688">
        <f>IMAGE("https://mitra.stanford.edu/kundaje/oak/projects/neuro-variants/variant_position/credible/roussos_2024/variant_figures/roussos_2024.childhood.GLU/rs2508976_profile_position.png",4,220,900)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-0.0968659284</v>
      </c>
      <c r="G689" t="n">
        <v>0.0514228866638418</v>
      </c>
      <c r="H689" t="n">
        <v>0.0291917005788843</v>
      </c>
      <c r="I689" t="n">
        <v>0.0249544195985807</v>
      </c>
      <c r="J689" t="n">
        <v>0.0297145270792338</v>
      </c>
      <c r="K689" t="n">
        <v>0.4300396199221264</v>
      </c>
      <c r="L689" t="b">
        <v>0</v>
      </c>
      <c r="M689" t="b">
        <v>0</v>
      </c>
      <c r="N689" t="inlineStr">
        <is>
          <t>ref</t>
        </is>
      </c>
      <c r="O689" t="n">
        <v>65</v>
      </c>
      <c r="P689" t="n">
        <v>0.002777</v>
      </c>
      <c r="Q689" t="n">
        <v>-90</v>
      </c>
      <c r="R689" t="n">
        <v>0.09375</v>
      </c>
      <c r="S689">
        <f>IMAGE("https://mitra.stanford.edu/kundaje/oak/projects/neuro-variants/variant_position/credible/roussos_2024/variant_figures/roussos_2024.childhood.GLU/rs2509229_count_position.png",4,220,900)</f>
        <v/>
      </c>
      <c r="T689">
        <f>IMAGE("https://mitra.stanford.edu/kundaje/oak/projects/neuro-variants/variant_position/credible/roussos_2024/variant_figures/roussos_2024.childhood.GLU/rs2509229_profile_position.png",4,220,900)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0.01216681046</v>
      </c>
      <c r="G690" t="n">
        <v>0.599238169883334</v>
      </c>
      <c r="H690" t="n">
        <v>0.0254917948328263</v>
      </c>
      <c r="I690" t="n">
        <v>0.0403183206459853</v>
      </c>
      <c r="J690" t="n">
        <v>0.1205301492783335</v>
      </c>
      <c r="K690" t="n">
        <v>0.2188327309886344</v>
      </c>
      <c r="L690" t="b">
        <v>0</v>
      </c>
      <c r="M690" t="b">
        <v>0</v>
      </c>
      <c r="N690" t="inlineStr">
        <is>
          <t>alt</t>
        </is>
      </c>
      <c r="O690" t="n">
        <v>100</v>
      </c>
      <c r="P690" t="n">
        <v>0.0467</v>
      </c>
      <c r="Q690" t="n">
        <v>15</v>
      </c>
      <c r="R690" t="n">
        <v>0.1536</v>
      </c>
      <c r="S690">
        <f>IMAGE("https://mitra.stanford.edu/kundaje/oak/projects/neuro-variants/variant_position/credible/roussos_2024/variant_figures/roussos_2024.childhood.GLU/rs2509228_count_position.png",4,220,900)</f>
        <v/>
      </c>
      <c r="T690">
        <f>IMAGE("https://mitra.stanford.edu/kundaje/oak/projects/neuro-variants/variant_position/credible/roussos_2024/variant_figures/roussos_2024.childhood.GLU/rs2509228_profile_position.png",4,220,900)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0.153312569</v>
      </c>
      <c r="G691" t="n">
        <v>0.0163456514187836</v>
      </c>
      <c r="H691" t="n">
        <v>0.0323925680156493</v>
      </c>
      <c r="I691" t="n">
        <v>0.0170624695530443</v>
      </c>
      <c r="J691" t="n">
        <v>0.0137657494308054</v>
      </c>
      <c r="K691" t="n">
        <v>0.5496500817539178</v>
      </c>
      <c r="L691" t="b">
        <v>1</v>
      </c>
      <c r="M691" t="b">
        <v>0</v>
      </c>
      <c r="N691" t="inlineStr">
        <is>
          <t>alt</t>
        </is>
      </c>
      <c r="O691" t="n">
        <v>-50</v>
      </c>
      <c r="P691" t="n">
        <v>0.00405</v>
      </c>
      <c r="Q691" t="n">
        <v>15</v>
      </c>
      <c r="R691" t="n">
        <v>0.06042</v>
      </c>
      <c r="S691">
        <f>IMAGE("https://mitra.stanford.edu/kundaje/oak/projects/neuro-variants/variant_position/credible/roussos_2024/variant_figures/roussos_2024.childhood.GLU/rs2512706_count_position.png",4,220,900)</f>
        <v/>
      </c>
      <c r="T691">
        <f>IMAGE("https://mitra.stanford.edu/kundaje/oak/projects/neuro-variants/variant_position/credible/roussos_2024/variant_figures/roussos_2024.childhood.GLU/rs2512706_profile_position.png",4,220,900)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-0.2319176251999999</v>
      </c>
      <c r="G692" t="n">
        <v>0.0055824103631586</v>
      </c>
      <c r="H692" t="n">
        <v>0.0388537065722845</v>
      </c>
      <c r="I692" t="n">
        <v>0.0085877404872843</v>
      </c>
      <c r="J692" t="n">
        <v>0.0068107595784354</v>
      </c>
      <c r="K692" t="n">
        <v>0.6393154406994083</v>
      </c>
      <c r="L692" t="b">
        <v>1</v>
      </c>
      <c r="M692" t="b">
        <v>1</v>
      </c>
      <c r="N692" t="inlineStr">
        <is>
          <t>ref</t>
        </is>
      </c>
      <c r="O692" t="n">
        <v>-5</v>
      </c>
      <c r="P692" t="n">
        <v>0.002617</v>
      </c>
      <c r="Q692" t="n">
        <v>100</v>
      </c>
      <c r="R692" t="n">
        <v>0.1785</v>
      </c>
      <c r="S692">
        <f>IMAGE("https://mitra.stanford.edu/kundaje/oak/projects/neuro-variants/variant_position/credible/roussos_2024/variant_figures/roussos_2024.childhood.GLU/rs55945016_count_position.png",4,220,900)</f>
        <v/>
      </c>
      <c r="T692">
        <f>IMAGE("https://mitra.stanford.edu/kundaje/oak/projects/neuro-variants/variant_position/credible/roussos_2024/variant_figures/roussos_2024.childhood.GLU/rs55945016_profile_position.png",4,220,900)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0.1512342752</v>
      </c>
      <c r="G693" t="n">
        <v>0.0186859397916265</v>
      </c>
      <c r="H693" t="n">
        <v>0.0214245487859329</v>
      </c>
      <c r="I693" t="n">
        <v>0.0803247316750578</v>
      </c>
      <c r="J693" t="n">
        <v>0.0598504126016049</v>
      </c>
      <c r="K693" t="n">
        <v>0.3228475703790748</v>
      </c>
      <c r="L693" t="b">
        <v>1</v>
      </c>
      <c r="M693" t="b">
        <v>0</v>
      </c>
      <c r="N693" t="inlineStr">
        <is>
          <t>alt</t>
        </is>
      </c>
      <c r="O693" t="n">
        <v>60</v>
      </c>
      <c r="P693" t="n">
        <v>0.005554</v>
      </c>
      <c r="Q693" t="n">
        <v>-100</v>
      </c>
      <c r="R693" t="n">
        <v>0.07117</v>
      </c>
      <c r="S693">
        <f>IMAGE("https://mitra.stanford.edu/kundaje/oak/projects/neuro-variants/variant_position/credible/roussos_2024/variant_figures/roussos_2024.childhood.GLU/rs73035374_count_position.png",4,220,900)</f>
        <v/>
      </c>
      <c r="T693">
        <f>IMAGE("https://mitra.stanford.edu/kundaje/oak/projects/neuro-variants/variant_position/credible/roussos_2024/variant_figures/roussos_2024.childhood.GLU/rs73035374_profile_position.png",4,220,900)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0.0649310474</v>
      </c>
      <c r="G694" t="n">
        <v>0.1187980413103416</v>
      </c>
      <c r="H694" t="n">
        <v>0.0301921545381308</v>
      </c>
      <c r="I694" t="n">
        <v>0.02103003917001</v>
      </c>
      <c r="J694" t="n">
        <v>0.0375544726838162</v>
      </c>
      <c r="K694" t="n">
        <v>0.4062014076569832</v>
      </c>
      <c r="L694" t="b">
        <v>0</v>
      </c>
      <c r="M694" t="b">
        <v>0</v>
      </c>
      <c r="N694" t="inlineStr">
        <is>
          <t>alt</t>
        </is>
      </c>
      <c r="O694" t="n">
        <v>25</v>
      </c>
      <c r="P694" t="n">
        <v>0.00116</v>
      </c>
      <c r="Q694" t="n">
        <v>-5</v>
      </c>
      <c r="R694" t="n">
        <v>0.05273</v>
      </c>
      <c r="S694">
        <f>IMAGE("https://mitra.stanford.edu/kundaje/oak/projects/neuro-variants/variant_position/credible/roussos_2024/variant_figures/roussos_2024.childhood.GLU/rs6590647_count_position.png",4,220,900)</f>
        <v/>
      </c>
      <c r="T694">
        <f>IMAGE("https://mitra.stanford.edu/kundaje/oak/projects/neuro-variants/variant_position/credible/roussos_2024/variant_figures/roussos_2024.childhood.GLU/rs6590647_profile_position.png",4,220,900)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0.0533352695999999</v>
      </c>
      <c r="G695" t="n">
        <v>0.1570938181274664</v>
      </c>
      <c r="H695" t="n">
        <v>0.0182643861611008</v>
      </c>
      <c r="I695" t="n">
        <v>0.1326524012573665</v>
      </c>
      <c r="J695" t="n">
        <v>0.1025147578476722</v>
      </c>
      <c r="K695" t="n">
        <v>0.2483642945689105</v>
      </c>
      <c r="L695" t="b">
        <v>0</v>
      </c>
      <c r="M695" t="b">
        <v>0</v>
      </c>
      <c r="N695" t="inlineStr">
        <is>
          <t>alt</t>
        </is>
      </c>
      <c r="O695" t="n">
        <v>95</v>
      </c>
      <c r="P695" t="n">
        <v>0.01065</v>
      </c>
      <c r="Q695" t="n">
        <v>95</v>
      </c>
      <c r="R695" t="n">
        <v>0.1367</v>
      </c>
      <c r="S695">
        <f>IMAGE("https://mitra.stanford.edu/kundaje/oak/projects/neuro-variants/variant_position/credible/roussos_2024/variant_figures/roussos_2024.childhood.GLU/rs3862599_count_position.png",4,220,900)</f>
        <v/>
      </c>
      <c r="T695">
        <f>IMAGE("https://mitra.stanford.edu/kundaje/oak/projects/neuro-variants/variant_position/credible/roussos_2024/variant_figures/roussos_2024.childhood.GLU/rs3862599_profile_position.png",4,220,900)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-0.0001462187999999</v>
      </c>
      <c r="G696" t="n">
        <v>0.5673361190211067</v>
      </c>
      <c r="H696" t="n">
        <v>0.0194472290752459</v>
      </c>
      <c r="I696" t="n">
        <v>0.1083309337654696</v>
      </c>
      <c r="J696" t="n">
        <v>0.0955680097252412</v>
      </c>
      <c r="K696" t="n">
        <v>0.2572624927412748</v>
      </c>
      <c r="L696" t="b">
        <v>0</v>
      </c>
      <c r="M696" t="b">
        <v>0</v>
      </c>
      <c r="N696" t="inlineStr">
        <is>
          <t>ref</t>
        </is>
      </c>
      <c r="O696" t="n">
        <v>10</v>
      </c>
      <c r="P696" t="n">
        <v>0.001045</v>
      </c>
      <c r="Q696" t="n">
        <v>-45</v>
      </c>
      <c r="R696" t="n">
        <v>0.04553</v>
      </c>
      <c r="S696">
        <f>IMAGE("https://mitra.stanford.edu/kundaje/oak/projects/neuro-variants/variant_position/credible/roussos_2024/variant_figures/roussos_2024.childhood.GLU/rs3018396_count_position.png",4,220,900)</f>
        <v/>
      </c>
      <c r="T696">
        <f>IMAGE("https://mitra.stanford.edu/kundaje/oak/projects/neuro-variants/variant_position/credible/roussos_2024/variant_figures/roussos_2024.childhood.GLU/rs3018396_profile_position.png",4,220,900)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0.0103283099999999</v>
      </c>
      <c r="G697" t="n">
        <v>0.4868661092340662</v>
      </c>
      <c r="H697" t="n">
        <v>0.0087782996658514</v>
      </c>
      <c r="I697" t="n">
        <v>0.8006612159146206</v>
      </c>
      <c r="J697" t="n">
        <v>0.0015793214995826</v>
      </c>
      <c r="K697" t="n">
        <v>0.7909443953447809</v>
      </c>
      <c r="L697" t="b">
        <v>0</v>
      </c>
      <c r="M697" t="b">
        <v>0</v>
      </c>
      <c r="N697" t="inlineStr">
        <is>
          <t>alt</t>
        </is>
      </c>
      <c r="O697" t="n">
        <v>-100</v>
      </c>
      <c r="P697" t="n">
        <v>0.0387</v>
      </c>
      <c r="Q697" t="n">
        <v>-40</v>
      </c>
      <c r="R697" t="n">
        <v>0.0478</v>
      </c>
      <c r="S697">
        <f>IMAGE("https://mitra.stanford.edu/kundaje/oak/projects/neuro-variants/variant_position/credible/roussos_2024/variant_figures/roussos_2024.childhood.GLU/rs1940148_count_position.png",4,220,900)</f>
        <v/>
      </c>
      <c r="T697">
        <f>IMAGE("https://mitra.stanford.edu/kundaje/oak/projects/neuro-variants/variant_position/credible/roussos_2024/variant_figures/roussos_2024.childhood.GLU/rs1940148_profile_position.png",4,220,900)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0.0582577257999999</v>
      </c>
      <c r="G698" t="n">
        <v>0.1279262494624036</v>
      </c>
      <c r="H698" t="n">
        <v>0.0132756079898321</v>
      </c>
      <c r="I698" t="n">
        <v>0.3527398274235687</v>
      </c>
      <c r="J698" t="n">
        <v>0.0077791628462813</v>
      </c>
      <c r="K698" t="n">
        <v>0.6231134078323436</v>
      </c>
      <c r="L698" t="b">
        <v>0</v>
      </c>
      <c r="M698" t="b">
        <v>0</v>
      </c>
      <c r="N698" t="inlineStr">
        <is>
          <t>alt</t>
        </is>
      </c>
      <c r="O698" t="n">
        <v>100</v>
      </c>
      <c r="P698" t="n">
        <v>0.01271</v>
      </c>
      <c r="Q698" t="n">
        <v>95</v>
      </c>
      <c r="R698" t="n">
        <v>0.0856</v>
      </c>
      <c r="S698">
        <f>IMAGE("https://mitra.stanford.edu/kundaje/oak/projects/neuro-variants/variant_position/credible/roussos_2024/variant_figures/roussos_2024.childhood.GLU/rs1939515_count_position.png",4,220,900)</f>
        <v/>
      </c>
      <c r="T698">
        <f>IMAGE("https://mitra.stanford.edu/kundaje/oak/projects/neuro-variants/variant_position/credible/roussos_2024/variant_figures/roussos_2024.childhood.GLU/rs1939515_profile_position.png",4,220,900)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0.0502729724</v>
      </c>
      <c r="G699" t="n">
        <v>0.173192961935497</v>
      </c>
      <c r="H699" t="n">
        <v>0.0250965745647111</v>
      </c>
      <c r="I699" t="n">
        <v>0.0437206465788656</v>
      </c>
      <c r="J699" t="n">
        <v>0.2325970721254391</v>
      </c>
      <c r="K699" t="n">
        <v>0.1301885184587081</v>
      </c>
      <c r="L699" t="b">
        <v>0</v>
      </c>
      <c r="M699" t="b">
        <v>0</v>
      </c>
      <c r="N699" t="inlineStr">
        <is>
          <t>alt</t>
        </is>
      </c>
      <c r="O699" t="n">
        <v>-65</v>
      </c>
      <c r="P699" t="n">
        <v>0.012794</v>
      </c>
      <c r="Q699" t="n">
        <v>100</v>
      </c>
      <c r="R699" t="n">
        <v>0.08856</v>
      </c>
      <c r="S699">
        <f>IMAGE("https://mitra.stanford.edu/kundaje/oak/projects/neuro-variants/variant_position/credible/roussos_2024/variant_figures/roussos_2024.childhood.GLU/rs7946883_count_position.png",4,220,900)</f>
        <v/>
      </c>
      <c r="T699">
        <f>IMAGE("https://mitra.stanford.edu/kundaje/oak/projects/neuro-variants/variant_position/credible/roussos_2024/variant_figures/roussos_2024.childhood.GLU/rs7946883_profile_position.png",4,220,900)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0.002170529154</v>
      </c>
      <c r="G700" t="n">
        <v>0.8783484635878236</v>
      </c>
      <c r="H700" t="n">
        <v>0.0111115749838736</v>
      </c>
      <c r="I700" t="n">
        <v>0.5406731305264078</v>
      </c>
      <c r="J700" t="n">
        <v>0.7658163948612814</v>
      </c>
      <c r="K700" t="n">
        <v>0.0094772174096058</v>
      </c>
      <c r="L700" t="b">
        <v>0</v>
      </c>
      <c r="M700" t="b">
        <v>0</v>
      </c>
      <c r="N700" t="inlineStr">
        <is>
          <t>alt</t>
        </is>
      </c>
      <c r="O700" t="n">
        <v>-90</v>
      </c>
      <c r="P700" t="n">
        <v>0.002888</v>
      </c>
      <c r="Q700" t="n">
        <v>-85</v>
      </c>
      <c r="R700" t="n">
        <v>0.06213</v>
      </c>
      <c r="S700">
        <f>IMAGE("https://mitra.stanford.edu/kundaje/oak/projects/neuro-variants/variant_position/credible/roussos_2024/variant_figures/roussos_2024.childhood.GLU/rs118031494_count_position.png",4,220,900)</f>
        <v/>
      </c>
      <c r="T700">
        <f>IMAGE("https://mitra.stanford.edu/kundaje/oak/projects/neuro-variants/variant_position/credible/roussos_2024/variant_figures/roussos_2024.childhood.GLU/rs118031494_profile_position.png",4,220,900)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-0.07225204759999999</v>
      </c>
      <c r="G701" t="n">
        <v>0.0924599344545957</v>
      </c>
      <c r="H701" t="n">
        <v>0.0152556703082927</v>
      </c>
      <c r="I701" t="n">
        <v>0.233947861900739</v>
      </c>
      <c r="J701" t="n">
        <v>0.4660584956782428</v>
      </c>
      <c r="K701" t="n">
        <v>0.0491417119855209</v>
      </c>
      <c r="L701" t="b">
        <v>0</v>
      </c>
      <c r="M701" t="b">
        <v>0</v>
      </c>
      <c r="N701" t="inlineStr">
        <is>
          <t>ref</t>
        </is>
      </c>
      <c r="O701" t="n">
        <v>-85</v>
      </c>
      <c r="P701" t="n">
        <v>0.00213</v>
      </c>
      <c r="Q701" t="n">
        <v>-35</v>
      </c>
      <c r="R701" t="n">
        <v>0.0849</v>
      </c>
      <c r="S701">
        <f>IMAGE("https://mitra.stanford.edu/kundaje/oak/projects/neuro-variants/variant_position/credible/roussos_2024/variant_figures/roussos_2024.childhood.GLU/rs73034295_count_position.png",4,220,900)</f>
        <v/>
      </c>
      <c r="T701">
        <f>IMAGE("https://mitra.stanford.edu/kundaje/oak/projects/neuro-variants/variant_position/credible/roussos_2024/variant_figures/roussos_2024.childhood.GLU/rs73034295_profile_position.png",4,220,900)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0.0360100826799999</v>
      </c>
      <c r="G702" t="n">
        <v>0.2805188573864589</v>
      </c>
      <c r="H702" t="n">
        <v>0.0168104686096691</v>
      </c>
      <c r="I702" t="n">
        <v>0.180617539967606</v>
      </c>
      <c r="J702" t="n">
        <v>0.1872675574603108</v>
      </c>
      <c r="K702" t="n">
        <v>0.1568615572210977</v>
      </c>
      <c r="L702" t="b">
        <v>0</v>
      </c>
      <c r="M702" t="b">
        <v>0</v>
      </c>
      <c r="N702" t="inlineStr">
        <is>
          <t>alt</t>
        </is>
      </c>
      <c r="O702" t="n">
        <v>-50</v>
      </c>
      <c r="P702" t="n">
        <v>0.001175</v>
      </c>
      <c r="Q702" t="n">
        <v>50</v>
      </c>
      <c r="R702" t="n">
        <v>0.0319</v>
      </c>
      <c r="S702">
        <f>IMAGE("https://mitra.stanford.edu/kundaje/oak/projects/neuro-variants/variant_position/credible/roussos_2024/variant_figures/roussos_2024.childhood.GLU/rs73036081_count_position.png",4,220,900)</f>
        <v/>
      </c>
      <c r="T702">
        <f>IMAGE("https://mitra.stanford.edu/kundaje/oak/projects/neuro-variants/variant_position/credible/roussos_2024/variant_figures/roussos_2024.childhood.GLU/rs73036081_profile_position.png",4,220,900)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0.1052856664</v>
      </c>
      <c r="G703" t="n">
        <v>0.0540338002748788</v>
      </c>
      <c r="H703" t="n">
        <v>0.0336214948473765</v>
      </c>
      <c r="I703" t="n">
        <v>0.01664023596025</v>
      </c>
      <c r="J703" t="n">
        <v>0.4952599750687669</v>
      </c>
      <c r="K703" t="n">
        <v>0.0434712910352738</v>
      </c>
      <c r="L703" t="b">
        <v>1</v>
      </c>
      <c r="M703" t="b">
        <v>0</v>
      </c>
      <c r="N703" t="inlineStr">
        <is>
          <t>alt</t>
        </is>
      </c>
      <c r="O703" t="n">
        <v>-95</v>
      </c>
      <c r="P703" t="n">
        <v>0.00567</v>
      </c>
      <c r="Q703" t="n">
        <v>35</v>
      </c>
      <c r="R703" t="n">
        <v>0.01489</v>
      </c>
      <c r="S703">
        <f>IMAGE("https://mitra.stanford.edu/kundaje/oak/projects/neuro-variants/variant_position/credible/roussos_2024/variant_figures/roussos_2024.childhood.GLU/rs11223655_count_position.png",4,220,900)</f>
        <v/>
      </c>
      <c r="T703">
        <f>IMAGE("https://mitra.stanford.edu/kundaje/oak/projects/neuro-variants/variant_position/credible/roussos_2024/variant_figures/roussos_2024.childhood.GLU/rs11223655_profile_position.png",4,220,900)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-0.06687343</v>
      </c>
      <c r="G704" t="n">
        <v>0.1136475938504786</v>
      </c>
      <c r="H704" t="n">
        <v>0.0140378411137855</v>
      </c>
      <c r="I704" t="n">
        <v>0.2969244006155782</v>
      </c>
      <c r="J704" t="n">
        <v>0.5943173272069808</v>
      </c>
      <c r="K704" t="n">
        <v>0.0267789167066553</v>
      </c>
      <c r="L704" t="b">
        <v>0</v>
      </c>
      <c r="M704" t="b">
        <v>0</v>
      </c>
      <c r="N704" t="inlineStr">
        <is>
          <t>ref</t>
        </is>
      </c>
      <c r="O704" t="n">
        <v>-10</v>
      </c>
      <c r="P704" t="n">
        <v>0.00902</v>
      </c>
      <c r="Q704" t="n">
        <v>-100</v>
      </c>
      <c r="R704" t="n">
        <v>0.179</v>
      </c>
      <c r="S704">
        <f>IMAGE("https://mitra.stanford.edu/kundaje/oak/projects/neuro-variants/variant_position/credible/roussos_2024/variant_figures/roussos_2024.childhood.GLU/rs4936216_count_position.png",4,220,900)</f>
        <v/>
      </c>
      <c r="T704">
        <f>IMAGE("https://mitra.stanford.edu/kundaje/oak/projects/neuro-variants/variant_position/credible/roussos_2024/variant_figures/roussos_2024.childhood.GLU/rs4936216_profile_position.png",4,220,900)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-0.00434806614</v>
      </c>
      <c r="G705" t="n">
        <v>0.5976473012035181</v>
      </c>
      <c r="H705" t="n">
        <v>0.0140976059648207</v>
      </c>
      <c r="I705" t="n">
        <v>0.2975060571786811</v>
      </c>
      <c r="J705" t="n">
        <v>0.4858283453696931</v>
      </c>
      <c r="K705" t="n">
        <v>0.04545533216982</v>
      </c>
      <c r="L705" t="b">
        <v>0</v>
      </c>
      <c r="M705" t="b">
        <v>0</v>
      </c>
      <c r="N705" t="inlineStr">
        <is>
          <t>ref</t>
        </is>
      </c>
      <c r="O705" t="n">
        <v>25</v>
      </c>
      <c r="P705" t="n">
        <v>0.00818</v>
      </c>
      <c r="Q705" t="n">
        <v>50</v>
      </c>
      <c r="R705" t="n">
        <v>0.0664</v>
      </c>
      <c r="S705">
        <f>IMAGE("https://mitra.stanford.edu/kundaje/oak/projects/neuro-variants/variant_position/credible/roussos_2024/variant_figures/roussos_2024.childhood.GLU/rs470536_count_position.png",4,220,900)</f>
        <v/>
      </c>
      <c r="T705">
        <f>IMAGE("https://mitra.stanford.edu/kundaje/oak/projects/neuro-variants/variant_position/credible/roussos_2024/variant_figures/roussos_2024.childhood.GLU/rs470536_profile_position.png",4,220,900)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0.0142516959199999</v>
      </c>
      <c r="G706" t="n">
        <v>0.5457378589967409</v>
      </c>
      <c r="H706" t="n">
        <v>0.0278174870372163</v>
      </c>
      <c r="I706" t="n">
        <v>0.0291200117275487</v>
      </c>
      <c r="J706" t="n">
        <v>0.0046668795780233</v>
      </c>
      <c r="K706" t="n">
        <v>0.6756272094953574</v>
      </c>
      <c r="L706" t="b">
        <v>0</v>
      </c>
      <c r="M706" t="b">
        <v>0</v>
      </c>
      <c r="N706" t="inlineStr">
        <is>
          <t>alt</t>
        </is>
      </c>
      <c r="O706" t="n">
        <v>85</v>
      </c>
      <c r="P706" t="n">
        <v>0.003754</v>
      </c>
      <c r="Q706" t="n">
        <v>95</v>
      </c>
      <c r="R706" t="n">
        <v>0.1016</v>
      </c>
      <c r="S706">
        <f>IMAGE("https://mitra.stanford.edu/kundaje/oak/projects/neuro-variants/variant_position/credible/roussos_2024/variant_figures/roussos_2024.childhood.GLU/rs626717_count_position.png",4,220,900)</f>
        <v/>
      </c>
      <c r="T706">
        <f>IMAGE("https://mitra.stanford.edu/kundaje/oak/projects/neuro-variants/variant_position/credible/roussos_2024/variant_figures/roussos_2024.childhood.GLU/rs626717_profile_position.png",4,220,900)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0.0170768341</v>
      </c>
      <c r="G707" t="n">
        <v>0.5030490191768069</v>
      </c>
      <c r="H707" t="n">
        <v>0.0094218948713821</v>
      </c>
      <c r="I707" t="n">
        <v>0.7272261595090523</v>
      </c>
      <c r="J707" t="n">
        <v>0.0153079831456622</v>
      </c>
      <c r="K707" t="n">
        <v>0.5315408836612965</v>
      </c>
      <c r="L707" t="b">
        <v>0</v>
      </c>
      <c r="M707" t="b">
        <v>0</v>
      </c>
      <c r="N707" t="inlineStr">
        <is>
          <t>alt</t>
        </is>
      </c>
      <c r="O707" t="n">
        <v>-30</v>
      </c>
      <c r="P707" t="n">
        <v>0.004105</v>
      </c>
      <c r="Q707" t="n">
        <v>-100</v>
      </c>
      <c r="R707" t="n">
        <v>0.01971</v>
      </c>
      <c r="S707">
        <f>IMAGE("https://mitra.stanford.edu/kundaje/oak/projects/neuro-variants/variant_position/credible/roussos_2024/variant_figures/roussos_2024.childhood.GLU/rs470713_count_position.png",4,220,900)</f>
        <v/>
      </c>
      <c r="T707">
        <f>IMAGE("https://mitra.stanford.edu/kundaje/oak/projects/neuro-variants/variant_position/credible/roussos_2024/variant_figures/roussos_2024.childhood.GLU/rs470713_profile_position.png",4,220,900)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0.001775770326</v>
      </c>
      <c r="G708" t="n">
        <v>0.8650996657499966</v>
      </c>
      <c r="H708" t="n">
        <v>0.009840049927215299</v>
      </c>
      <c r="I708" t="n">
        <v>0.6733275642761782</v>
      </c>
      <c r="J708" t="n">
        <v>0.3695189920364284</v>
      </c>
      <c r="K708" t="n">
        <v>0.0727032319133397</v>
      </c>
      <c r="L708" t="b">
        <v>0</v>
      </c>
      <c r="M708" t="b">
        <v>0</v>
      </c>
      <c r="N708" t="inlineStr">
        <is>
          <t>alt</t>
        </is>
      </c>
      <c r="O708" t="n">
        <v>100</v>
      </c>
      <c r="P708" t="n">
        <v>0.015144</v>
      </c>
      <c r="Q708" t="n">
        <v>65</v>
      </c>
      <c r="R708" t="n">
        <v>0.2151</v>
      </c>
      <c r="S708">
        <f>IMAGE("https://mitra.stanford.edu/kundaje/oak/projects/neuro-variants/variant_position/credible/roussos_2024/variant_figures/roussos_2024.childhood.GLU/rs10736610_count_position.png",4,220,900)</f>
        <v/>
      </c>
      <c r="T708">
        <f>IMAGE("https://mitra.stanford.edu/kundaje/oak/projects/neuro-variants/variant_position/credible/roussos_2024/variant_figures/roussos_2024.childhood.GLU/rs10736610_profile_position.png",4,220,900)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0.112358496</v>
      </c>
      <c r="G709" t="n">
        <v>0.0413163677911248</v>
      </c>
      <c r="H709" t="n">
        <v>0.0294448796100647</v>
      </c>
      <c r="I709" t="n">
        <v>0.0255882066307357</v>
      </c>
      <c r="J709" t="n">
        <v>0.0530818918891074</v>
      </c>
      <c r="K709" t="n">
        <v>0.344981383651067</v>
      </c>
      <c r="L709" t="b">
        <v>0</v>
      </c>
      <c r="M709" t="b">
        <v>0</v>
      </c>
      <c r="N709" t="inlineStr">
        <is>
          <t>alt</t>
        </is>
      </c>
      <c r="O709" t="n">
        <v>-100</v>
      </c>
      <c r="P709" t="n">
        <v>0.01494</v>
      </c>
      <c r="Q709" t="n">
        <v>-40</v>
      </c>
      <c r="R709" t="n">
        <v>0.0872</v>
      </c>
      <c r="S709">
        <f>IMAGE("https://mitra.stanford.edu/kundaje/oak/projects/neuro-variants/variant_position/credible/roussos_2024/variant_figures/roussos_2024.childhood.GLU/rs11223722_count_position.png",4,220,900)</f>
        <v/>
      </c>
      <c r="T709">
        <f>IMAGE("https://mitra.stanford.edu/kundaje/oak/projects/neuro-variants/variant_position/credible/roussos_2024/variant_figures/roussos_2024.childhood.GLU/rs11223722_profile_position.png",4,220,900)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-0.140947807</v>
      </c>
      <c r="G710" t="n">
        <v>0.0212308582189334</v>
      </c>
      <c r="H710" t="n">
        <v>0.0355588239880436</v>
      </c>
      <c r="I710" t="n">
        <v>0.0113368233044204</v>
      </c>
      <c r="J710" t="n">
        <v>0.0320026373535804</v>
      </c>
      <c r="K710" t="n">
        <v>0.418523328787884</v>
      </c>
      <c r="L710" t="b">
        <v>1</v>
      </c>
      <c r="M710" t="b">
        <v>0</v>
      </c>
      <c r="N710" t="inlineStr">
        <is>
          <t>ref</t>
        </is>
      </c>
      <c r="O710" t="n">
        <v>-100</v>
      </c>
      <c r="P710" t="n">
        <v>0.0167</v>
      </c>
      <c r="Q710" t="n">
        <v>-80</v>
      </c>
      <c r="R710" t="n">
        <v>0.037</v>
      </c>
      <c r="S710">
        <f>IMAGE("https://mitra.stanford.edu/kundaje/oak/projects/neuro-variants/variant_position/credible/roussos_2024/variant_figures/roussos_2024.childhood.GLU/rs10894782_count_position.png",4,220,900)</f>
        <v/>
      </c>
      <c r="T710">
        <f>IMAGE("https://mitra.stanford.edu/kundaje/oak/projects/neuro-variants/variant_position/credible/roussos_2024/variant_figures/roussos_2024.childhood.GLU/rs10894782_profile_position.png",4,220,900)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-0.0395089514</v>
      </c>
      <c r="G711" t="n">
        <v>0.2520959486257226</v>
      </c>
      <c r="H711" t="n">
        <v>0.0120139368085779</v>
      </c>
      <c r="I711" t="n">
        <v>0.443803013884512</v>
      </c>
      <c r="J711" t="n">
        <v>0.5269453058196916</v>
      </c>
      <c r="K711" t="n">
        <v>0.0375910917114452</v>
      </c>
      <c r="L711" t="b">
        <v>0</v>
      </c>
      <c r="M711" t="b">
        <v>0</v>
      </c>
      <c r="N711" t="inlineStr">
        <is>
          <t>ref</t>
        </is>
      </c>
      <c r="O711" t="n">
        <v>95</v>
      </c>
      <c r="P711" t="n">
        <v>0.006172</v>
      </c>
      <c r="Q711" t="n">
        <v>-100</v>
      </c>
      <c r="R711" t="n">
        <v>0.135</v>
      </c>
      <c r="S711">
        <f>IMAGE("https://mitra.stanford.edu/kundaje/oak/projects/neuro-variants/variant_position/credible/roussos_2024/variant_figures/roussos_2024.childhood.GLU/rs523621_count_position.png",4,220,900)</f>
        <v/>
      </c>
      <c r="T711">
        <f>IMAGE("https://mitra.stanford.edu/kundaje/oak/projects/neuro-variants/variant_position/credible/roussos_2024/variant_figures/roussos_2024.childhood.GLU/rs523621_profile_position.png",4,220,900)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-0.00232591152</v>
      </c>
      <c r="G712" t="n">
        <v>0.7965046440185005</v>
      </c>
      <c r="H712" t="n">
        <v>0.0353084767988832</v>
      </c>
      <c r="I712" t="n">
        <v>0.010762485966031</v>
      </c>
      <c r="J712" t="n">
        <v>0.2484922785292632</v>
      </c>
      <c r="K712" t="n">
        <v>0.1203249329623691</v>
      </c>
      <c r="L712" t="b">
        <v>1</v>
      </c>
      <c r="M712" t="b">
        <v>0</v>
      </c>
      <c r="N712" t="inlineStr">
        <is>
          <t>ref</t>
        </is>
      </c>
      <c r="O712" t="n">
        <v>-100</v>
      </c>
      <c r="P712" t="n">
        <v>0.0636</v>
      </c>
      <c r="Q712" t="n">
        <v>-70</v>
      </c>
      <c r="R712" t="n">
        <v>0.03668</v>
      </c>
      <c r="S712">
        <f>IMAGE("https://mitra.stanford.edu/kundaje/oak/projects/neuro-variants/variant_position/credible/roussos_2024/variant_figures/roussos_2024.childhood.GLU/rs543528_count_position.png",4,220,900)</f>
        <v/>
      </c>
      <c r="T712">
        <f>IMAGE("https://mitra.stanford.edu/kundaje/oak/projects/neuro-variants/variant_position/credible/roussos_2024/variant_figures/roussos_2024.childhood.GLU/rs543528_profile_position.png",4,220,900)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-0.0193308851999999</v>
      </c>
      <c r="G713" t="n">
        <v>0.4982941554336513</v>
      </c>
      <c r="H713" t="n">
        <v>0.0111870181926902</v>
      </c>
      <c r="I713" t="n">
        <v>0.5200903511133824</v>
      </c>
      <c r="J713" t="n">
        <v>0.3976995271307447</v>
      </c>
      <c r="K713" t="n">
        <v>0.0652123996657106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0.00322</v>
      </c>
      <c r="Q713" t="n">
        <v>90</v>
      </c>
      <c r="R713" t="n">
        <v>0.07779999999999999</v>
      </c>
      <c r="S713">
        <f>IMAGE("https://mitra.stanford.edu/kundaje/oak/projects/neuro-variants/variant_position/credible/roussos_2024/variant_figures/roussos_2024.childhood.GLU/rs7936986_count_position.png",4,220,900)</f>
        <v/>
      </c>
      <c r="T713">
        <f>IMAGE("https://mitra.stanford.edu/kundaje/oak/projects/neuro-variants/variant_position/credible/roussos_2024/variant_figures/roussos_2024.childhood.GLU/rs7936986_profile_position.png",4,220,900)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-0.0027341793599999</v>
      </c>
      <c r="G714" t="n">
        <v>0.7246235871084357</v>
      </c>
      <c r="H714" t="n">
        <v>0.007886073277630801</v>
      </c>
      <c r="I714" t="n">
        <v>0.8659926235005195</v>
      </c>
      <c r="J714" t="n">
        <v>0.0368518652065067</v>
      </c>
      <c r="K714" t="n">
        <v>0.4066187530463864</v>
      </c>
      <c r="L714" t="b">
        <v>0</v>
      </c>
      <c r="M714" t="b">
        <v>0</v>
      </c>
      <c r="N714" t="inlineStr">
        <is>
          <t>ref</t>
        </is>
      </c>
      <c r="O714" t="n">
        <v>30</v>
      </c>
      <c r="P714" t="n">
        <v>0.002213</v>
      </c>
      <c r="Q714" t="n">
        <v>-30</v>
      </c>
      <c r="R714" t="n">
        <v>0.05173</v>
      </c>
      <c r="S714">
        <f>IMAGE("https://mitra.stanford.edu/kundaje/oak/projects/neuro-variants/variant_position/credible/roussos_2024/variant_figures/roussos_2024.childhood.GLU/rs10894852_count_position.png",4,220,900)</f>
        <v/>
      </c>
      <c r="T714">
        <f>IMAGE("https://mitra.stanford.edu/kundaje/oak/projects/neuro-variants/variant_position/credible/roussos_2024/variant_figures/roussos_2024.childhood.GLU/rs10894852_profile_position.png",4,220,900)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0.03623989</v>
      </c>
      <c r="G715" t="n">
        <v>0.2626931654279947</v>
      </c>
      <c r="H715" t="n">
        <v>0.009846305838788901</v>
      </c>
      <c r="I715" t="n">
        <v>0.6723696824730825</v>
      </c>
      <c r="J715" t="n">
        <v>0.1266218179195812</v>
      </c>
      <c r="K715" t="n">
        <v>0.2093190068406706</v>
      </c>
      <c r="L715" t="b">
        <v>0</v>
      </c>
      <c r="M715" t="b">
        <v>0</v>
      </c>
      <c r="N715" t="inlineStr">
        <is>
          <t>alt</t>
        </is>
      </c>
      <c r="O715" t="n">
        <v>-70</v>
      </c>
      <c r="P715" t="n">
        <v>0.0722</v>
      </c>
      <c r="Q715" t="n">
        <v>-100</v>
      </c>
      <c r="R715" t="n">
        <v>0.2742</v>
      </c>
      <c r="S715">
        <f>IMAGE("https://mitra.stanford.edu/kundaje/oak/projects/neuro-variants/variant_position/credible/roussos_2024/variant_figures/roussos_2024.childhood.GLU/rs7122771_count_position.png",4,220,900)</f>
        <v/>
      </c>
      <c r="T715">
        <f>IMAGE("https://mitra.stanford.edu/kundaje/oak/projects/neuro-variants/variant_position/credible/roussos_2024/variant_figures/roussos_2024.childhood.GLU/rs7122771_profile_position.png",4,220,900)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0.03602455592</v>
      </c>
      <c r="G716" t="n">
        <v>0.2679041945997059</v>
      </c>
      <c r="H716" t="n">
        <v>0.0160022537692627</v>
      </c>
      <c r="I716" t="n">
        <v>0.2029204746317942</v>
      </c>
      <c r="J716" t="n">
        <v>0.0229120092307374</v>
      </c>
      <c r="K716" t="n">
        <v>0.4781866311409277</v>
      </c>
      <c r="L716" t="b">
        <v>0</v>
      </c>
      <c r="M716" t="b">
        <v>0</v>
      </c>
      <c r="N716" t="inlineStr">
        <is>
          <t>alt</t>
        </is>
      </c>
      <c r="O716" t="n">
        <v>90</v>
      </c>
      <c r="P716" t="n">
        <v>0.0139</v>
      </c>
      <c r="Q716" t="n">
        <v>-10</v>
      </c>
      <c r="R716" t="n">
        <v>0.01923</v>
      </c>
      <c r="S716">
        <f>IMAGE("https://mitra.stanford.edu/kundaje/oak/projects/neuro-variants/variant_position/credible/roussos_2024/variant_figures/roussos_2024.childhood.GLU/rs4343039_count_position.png",4,220,900)</f>
        <v/>
      </c>
      <c r="T716">
        <f>IMAGE("https://mitra.stanford.edu/kundaje/oak/projects/neuro-variants/variant_position/credible/roussos_2024/variant_figures/roussos_2024.childhood.GLU/rs4343039_profile_position.png",4,220,900)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-0.0169185780999999</v>
      </c>
      <c r="G717" t="n">
        <v>0.5056647594373488</v>
      </c>
      <c r="H717" t="n">
        <v>0.0141264010876733</v>
      </c>
      <c r="I717" t="n">
        <v>0.3022424660077074</v>
      </c>
      <c r="J717" t="n">
        <v>0.0590859921497522</v>
      </c>
      <c r="K717" t="n">
        <v>0.3311138287477148</v>
      </c>
      <c r="L717" t="b">
        <v>0</v>
      </c>
      <c r="M717" t="b">
        <v>0</v>
      </c>
      <c r="N717" t="inlineStr">
        <is>
          <t>ref</t>
        </is>
      </c>
      <c r="O717" t="n">
        <v>-20</v>
      </c>
      <c r="P717" t="n">
        <v>0.000824</v>
      </c>
      <c r="Q717" t="n">
        <v>-95</v>
      </c>
      <c r="R717" t="n">
        <v>0.07489999999999999</v>
      </c>
      <c r="S717">
        <f>IMAGE("https://mitra.stanford.edu/kundaje/oak/projects/neuro-variants/variant_position/credible/roussos_2024/variant_figures/roussos_2024.childhood.GLU/rs2187466_count_position.png",4,220,900)</f>
        <v/>
      </c>
      <c r="T717">
        <f>IMAGE("https://mitra.stanford.edu/kundaje/oak/projects/neuro-variants/variant_position/credible/roussos_2024/variant_figures/roussos_2024.childhood.GLU/rs2187466_profile_position.png",4,220,900)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0.10277016</v>
      </c>
      <c r="G718" t="n">
        <v>0.0423014280758048</v>
      </c>
      <c r="H718" t="n">
        <v>0.0129544372999155</v>
      </c>
      <c r="I718" t="n">
        <v>0.376676443063846</v>
      </c>
      <c r="J718" t="n">
        <v>0.6336664365850393</v>
      </c>
      <c r="K718" t="n">
        <v>0.0222426285404304</v>
      </c>
      <c r="L718" t="b">
        <v>0</v>
      </c>
      <c r="M718" t="b">
        <v>0</v>
      </c>
      <c r="N718" t="inlineStr">
        <is>
          <t>alt</t>
        </is>
      </c>
      <c r="O718" t="n">
        <v>-100</v>
      </c>
      <c r="P718" t="n">
        <v>0.01207</v>
      </c>
      <c r="Q718" t="n">
        <v>35</v>
      </c>
      <c r="R718" t="n">
        <v>0.02832</v>
      </c>
      <c r="S718">
        <f>IMAGE("https://mitra.stanford.edu/kundaje/oak/projects/neuro-variants/variant_position/credible/roussos_2024/variant_figures/roussos_2024.childhood.GLU/rs3019649_count_position.png",4,220,900)</f>
        <v/>
      </c>
      <c r="T718">
        <f>IMAGE("https://mitra.stanford.edu/kundaje/oak/projects/neuro-variants/variant_position/credible/roussos_2024/variant_figures/roussos_2024.childhood.GLU/rs3019649_profile_position.png",4,220,900)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-0.06744199299999989</v>
      </c>
      <c r="G719" t="n">
        <v>0.1082335857333468</v>
      </c>
      <c r="H719" t="n">
        <v>0.0137233299808787</v>
      </c>
      <c r="I719" t="n">
        <v>0.3201814290903017</v>
      </c>
      <c r="J719" t="n">
        <v>0.2034955237104267</v>
      </c>
      <c r="K719" t="n">
        <v>0.1462709889493119</v>
      </c>
      <c r="L719" t="b">
        <v>0</v>
      </c>
      <c r="M719" t="b">
        <v>0</v>
      </c>
      <c r="N719" t="inlineStr">
        <is>
          <t>ref</t>
        </is>
      </c>
      <c r="O719" t="n">
        <v>-100</v>
      </c>
      <c r="P719" t="n">
        <v>0.00549</v>
      </c>
      <c r="Q719" t="n">
        <v>-100</v>
      </c>
      <c r="R719" t="n">
        <v>0.06714000000000001</v>
      </c>
      <c r="S719">
        <f>IMAGE("https://mitra.stanford.edu/kundaje/oak/projects/neuro-variants/variant_position/credible/roussos_2024/variant_figures/roussos_2024.childhood.GLU/rs3019651_count_position.png",4,220,900)</f>
        <v/>
      </c>
      <c r="T719">
        <f>IMAGE("https://mitra.stanford.edu/kundaje/oak/projects/neuro-variants/variant_position/credible/roussos_2024/variant_figures/roussos_2024.childhood.GLU/rs3019651_profile_position.png",4,220,900)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-0.0035811646</v>
      </c>
      <c r="G720" t="n">
        <v>0.7078805446624743</v>
      </c>
      <c r="H720" t="n">
        <v>0.0085370189662259</v>
      </c>
      <c r="I720" t="n">
        <v>0.8175335976883601</v>
      </c>
      <c r="J720" t="n">
        <v>0.2841460022458714</v>
      </c>
      <c r="K720" t="n">
        <v>0.1036538147087147</v>
      </c>
      <c r="L720" t="b">
        <v>0</v>
      </c>
      <c r="M720" t="b">
        <v>0</v>
      </c>
      <c r="N720" t="inlineStr">
        <is>
          <t>ref</t>
        </is>
      </c>
      <c r="O720" t="n">
        <v>0</v>
      </c>
      <c r="P720" t="n">
        <v>0</v>
      </c>
      <c r="Q720" t="n">
        <v>20</v>
      </c>
      <c r="R720" t="n">
        <v>0.0332</v>
      </c>
      <c r="S720">
        <f>IMAGE("https://mitra.stanford.edu/kundaje/oak/projects/neuro-variants/variant_position/credible/roussos_2024/variant_figures/roussos_2024.childhood.GLU/rs3019652_count_position.png",4,220,900)</f>
        <v/>
      </c>
      <c r="T720">
        <f>IMAGE("https://mitra.stanford.edu/kundaje/oak/projects/neuro-variants/variant_position/credible/roussos_2024/variant_figures/roussos_2024.childhood.GLU/rs3019652_profile_position.png",4,220,900)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-0.00249794754</v>
      </c>
      <c r="G721" t="n">
        <v>0.7146507157371361</v>
      </c>
      <c r="H721" t="n">
        <v>0.0130343957040293</v>
      </c>
      <c r="I721" t="n">
        <v>0.3703155911205297</v>
      </c>
      <c r="J721" t="n">
        <v>0.0001019914079965</v>
      </c>
      <c r="K721" t="n">
        <v>0.9429686832671488</v>
      </c>
      <c r="L721" t="b">
        <v>0</v>
      </c>
      <c r="M721" t="b">
        <v>0</v>
      </c>
      <c r="N721" t="inlineStr">
        <is>
          <t>ref</t>
        </is>
      </c>
      <c r="O721" t="n">
        <v>-100</v>
      </c>
      <c r="P721" t="n">
        <v>0.004517</v>
      </c>
      <c r="Q721" t="n">
        <v>-100</v>
      </c>
      <c r="R721" t="n">
        <v>0.07446</v>
      </c>
      <c r="S721">
        <f>IMAGE("https://mitra.stanford.edu/kundaje/oak/projects/neuro-variants/variant_position/credible/roussos_2024/variant_figures/roussos_2024.childhood.GLU/rs2226892_count_position.png",4,220,900)</f>
        <v/>
      </c>
      <c r="T721">
        <f>IMAGE("https://mitra.stanford.edu/kundaje/oak/projects/neuro-variants/variant_position/credible/roussos_2024/variant_figures/roussos_2024.childhood.GLU/rs2226892_profile_position.png",4,220,900)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0.0790546433999999</v>
      </c>
      <c r="G722" t="n">
        <v>0.0663261156360105</v>
      </c>
      <c r="H722" t="n">
        <v>0.0394934699734843</v>
      </c>
      <c r="I722" t="n">
        <v>0.0073690966908648</v>
      </c>
      <c r="J722" t="n">
        <v>0.5989368168378542</v>
      </c>
      <c r="K722" t="n">
        <v>0.026611210778991</v>
      </c>
      <c r="L722" t="b">
        <v>1</v>
      </c>
      <c r="M722" t="b">
        <v>1</v>
      </c>
      <c r="N722" t="inlineStr">
        <is>
          <t>alt</t>
        </is>
      </c>
      <c r="O722" t="n">
        <v>-10</v>
      </c>
      <c r="P722" t="n">
        <v>0.001465</v>
      </c>
      <c r="Q722" t="n">
        <v>-10</v>
      </c>
      <c r="R722" t="n">
        <v>0.04102</v>
      </c>
      <c r="S722">
        <f>IMAGE("https://mitra.stanford.edu/kundaje/oak/projects/neuro-variants/variant_position/credible/roussos_2024/variant_figures/roussos_2024.childhood.GLU/rs3018003_count_position.png",4,220,900)</f>
        <v/>
      </c>
      <c r="T722">
        <f>IMAGE("https://mitra.stanford.edu/kundaje/oak/projects/neuro-variants/variant_position/credible/roussos_2024/variant_figures/roussos_2024.childhood.GLU/rs3018003_profile_position.png",4,220,900)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0.0931478</v>
      </c>
      <c r="G723" t="n">
        <v>0.05640548419057</v>
      </c>
      <c r="H723" t="n">
        <v>0.0276707691026497</v>
      </c>
      <c r="I723" t="n">
        <v>0.0297840632475583</v>
      </c>
      <c r="J723" t="n">
        <v>0.7033863207887335</v>
      </c>
      <c r="K723" t="n">
        <v>0.0146321736968502</v>
      </c>
      <c r="L723" t="b">
        <v>0</v>
      </c>
      <c r="M723" t="b">
        <v>0</v>
      </c>
      <c r="N723" t="inlineStr">
        <is>
          <t>alt</t>
        </is>
      </c>
      <c r="O723" t="n">
        <v>100</v>
      </c>
      <c r="P723" t="n">
        <v>0.001291</v>
      </c>
      <c r="Q723" t="n">
        <v>-45</v>
      </c>
      <c r="R723" t="n">
        <v>0.07630000000000001</v>
      </c>
      <c r="S723">
        <f>IMAGE("https://mitra.stanford.edu/kundaje/oak/projects/neuro-variants/variant_position/credible/roussos_2024/variant_figures/roussos_2024.childhood.GLU/rs11223928_count_position.png",4,220,900)</f>
        <v/>
      </c>
      <c r="T723">
        <f>IMAGE("https://mitra.stanford.edu/kundaje/oak/projects/neuro-variants/variant_position/credible/roussos_2024/variant_figures/roussos_2024.childhood.GLU/rs11223928_profile_position.png",4,220,900)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-0.0014416099199999</v>
      </c>
      <c r="G724" t="n">
        <v>0.5316960526717152</v>
      </c>
      <c r="H724" t="n">
        <v>0.0129725214978442</v>
      </c>
      <c r="I724" t="n">
        <v>0.3768958528690551</v>
      </c>
      <c r="J724" t="n">
        <v>0.0143488518239978</v>
      </c>
      <c r="K724" t="n">
        <v>0.5390488650149053</v>
      </c>
      <c r="L724" t="b">
        <v>0</v>
      </c>
      <c r="M724" t="b">
        <v>0</v>
      </c>
      <c r="N724" t="inlineStr">
        <is>
          <t>ref</t>
        </is>
      </c>
      <c r="O724" t="n">
        <v>-100</v>
      </c>
      <c r="P724" t="n">
        <v>0.001312</v>
      </c>
      <c r="Q724" t="n">
        <v>-5</v>
      </c>
      <c r="R724" t="n">
        <v>0.001678</v>
      </c>
      <c r="S724">
        <f>IMAGE("https://mitra.stanford.edu/kundaje/oak/projects/neuro-variants/variant_position/credible/roussos_2024/variant_figures/roussos_2024.childhood.GLU/rs999785_count_position.png",4,220,900)</f>
        <v/>
      </c>
      <c r="T724">
        <f>IMAGE("https://mitra.stanford.edu/kundaje/oak/projects/neuro-variants/variant_position/credible/roussos_2024/variant_figures/roussos_2024.childhood.GLU/rs999785_profile_position.png",4,220,900)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-0.0723295692</v>
      </c>
      <c r="G725" t="n">
        <v>0.1038613971599841</v>
      </c>
      <c r="H725" t="n">
        <v>0.0165198437783829</v>
      </c>
      <c r="I725" t="n">
        <v>0.1989830090211582</v>
      </c>
      <c r="J725" t="n">
        <v>0.5351241925680201</v>
      </c>
      <c r="K725" t="n">
        <v>0.0357165509260739</v>
      </c>
      <c r="L725" t="b">
        <v>0</v>
      </c>
      <c r="M725" t="b">
        <v>0</v>
      </c>
      <c r="N725" t="inlineStr">
        <is>
          <t>ref</t>
        </is>
      </c>
      <c r="O725" t="n">
        <v>-100</v>
      </c>
      <c r="P725" t="n">
        <v>0.00632</v>
      </c>
      <c r="Q725" t="n">
        <v>75</v>
      </c>
      <c r="R725" t="n">
        <v>0.0459</v>
      </c>
      <c r="S725">
        <f>IMAGE("https://mitra.stanford.edu/kundaje/oak/projects/neuro-variants/variant_position/credible/roussos_2024/variant_figures/roussos_2024.childhood.GLU/rs11223931_count_position.png",4,220,900)</f>
        <v/>
      </c>
      <c r="T725">
        <f>IMAGE("https://mitra.stanford.edu/kundaje/oak/projects/neuro-variants/variant_position/credible/roussos_2024/variant_figures/roussos_2024.childhood.GLU/rs11223931_profile_position.png",4,220,900)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-0.0084429539999999</v>
      </c>
      <c r="G726" t="n">
        <v>0.5862688627198849</v>
      </c>
      <c r="H726" t="n">
        <v>0.008670254427516301</v>
      </c>
      <c r="I726" t="n">
        <v>0.8122843579919472</v>
      </c>
      <c r="J726" t="n">
        <v>0.1848918788053612</v>
      </c>
      <c r="K726" t="n">
        <v>0.1587364922754665</v>
      </c>
      <c r="L726" t="b">
        <v>0</v>
      </c>
      <c r="M726" t="b">
        <v>0</v>
      </c>
      <c r="N726" t="inlineStr">
        <is>
          <t>ref</t>
        </is>
      </c>
      <c r="O726" t="n">
        <v>100</v>
      </c>
      <c r="P726" t="n">
        <v>0.00403</v>
      </c>
      <c r="Q726" t="n">
        <v>55</v>
      </c>
      <c r="R726" t="n">
        <v>0.01807</v>
      </c>
      <c r="S726">
        <f>IMAGE("https://mitra.stanford.edu/kundaje/oak/projects/neuro-variants/variant_position/credible/roussos_2024/variant_figures/roussos_2024.childhood.GLU/rs10894859_count_position.png",4,220,900)</f>
        <v/>
      </c>
      <c r="T726">
        <f>IMAGE("https://mitra.stanford.edu/kundaje/oak/projects/neuro-variants/variant_position/credible/roussos_2024/variant_figures/roussos_2024.childhood.GLU/rs10894859_profile_position.png",4,220,900)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0.0185729787999999</v>
      </c>
      <c r="G727" t="n">
        <v>0.3024840286373984</v>
      </c>
      <c r="H727" t="n">
        <v>0.0105619355558208</v>
      </c>
      <c r="I727" t="n">
        <v>0.5921318920272454</v>
      </c>
      <c r="J727" t="n">
        <v>0.19234652353529</v>
      </c>
      <c r="K727" t="n">
        <v>0.1532670541031813</v>
      </c>
      <c r="L727" t="b">
        <v>0</v>
      </c>
      <c r="M727" t="b">
        <v>0</v>
      </c>
      <c r="N727" t="inlineStr">
        <is>
          <t>alt</t>
        </is>
      </c>
      <c r="O727" t="n">
        <v>100</v>
      </c>
      <c r="P727" t="n">
        <v>0.004528</v>
      </c>
      <c r="Q727" t="n">
        <v>50</v>
      </c>
      <c r="R727" t="n">
        <v>0.01819</v>
      </c>
      <c r="S727">
        <f>IMAGE("https://mitra.stanford.edu/kundaje/oak/projects/neuro-variants/variant_position/credible/roussos_2024/variant_figures/roussos_2024.childhood.GLU/rs12277680_count_position.png",4,220,900)</f>
        <v/>
      </c>
      <c r="T727">
        <f>IMAGE("https://mitra.stanford.edu/kundaje/oak/projects/neuro-variants/variant_position/credible/roussos_2024/variant_figures/roussos_2024.childhood.GLU/rs12277680_profile_position.png",4,220,900)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-0.03925931768</v>
      </c>
      <c r="G728" t="n">
        <v>0.2375800371423864</v>
      </c>
      <c r="H728" t="n">
        <v>0.0341886208019017</v>
      </c>
      <c r="I728" t="n">
        <v>0.012534762891775</v>
      </c>
      <c r="J728" t="n">
        <v>0.707494823163382</v>
      </c>
      <c r="K728" t="n">
        <v>0.0143841556494777</v>
      </c>
      <c r="L728" t="b">
        <v>1</v>
      </c>
      <c r="M728" t="b">
        <v>0</v>
      </c>
      <c r="N728" t="inlineStr">
        <is>
          <t>ref</t>
        </is>
      </c>
      <c r="O728" t="n">
        <v>25</v>
      </c>
      <c r="P728" t="n">
        <v>0.00116</v>
      </c>
      <c r="Q728" t="n">
        <v>100</v>
      </c>
      <c r="R728" t="n">
        <v>0.1279</v>
      </c>
      <c r="S728">
        <f>IMAGE("https://mitra.stanford.edu/kundaje/oak/projects/neuro-variants/variant_position/credible/roussos_2024/variant_figures/roussos_2024.childhood.GLU/rs7951888_count_position.png",4,220,900)</f>
        <v/>
      </c>
      <c r="T728">
        <f>IMAGE("https://mitra.stanford.edu/kundaje/oak/projects/neuro-variants/variant_position/credible/roussos_2024/variant_figures/roussos_2024.childhood.GLU/rs7951888_profile_position.png",4,220,900)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0.0258881718</v>
      </c>
      <c r="G729" t="n">
        <v>0.3694415970456925</v>
      </c>
      <c r="H729" t="n">
        <v>0.0112203091453406</v>
      </c>
      <c r="I729" t="n">
        <v>0.5321668368417929</v>
      </c>
      <c r="J729" t="n">
        <v>0.29081150133413</v>
      </c>
      <c r="K729" t="n">
        <v>0.1002269986396591</v>
      </c>
      <c r="L729" t="b">
        <v>0</v>
      </c>
      <c r="M729" t="b">
        <v>0</v>
      </c>
      <c r="N729" t="inlineStr">
        <is>
          <t>alt</t>
        </is>
      </c>
      <c r="O729" t="n">
        <v>-90</v>
      </c>
      <c r="P729" t="n">
        <v>0.001968</v>
      </c>
      <c r="Q729" t="n">
        <v>-95</v>
      </c>
      <c r="R729" t="n">
        <v>0.2515</v>
      </c>
      <c r="S729">
        <f>IMAGE("https://mitra.stanford.edu/kundaje/oak/projects/neuro-variants/variant_position/credible/roussos_2024/variant_figures/roussos_2024.childhood.GLU/rs10894902_count_position.png",4,220,900)</f>
        <v/>
      </c>
      <c r="T729">
        <f>IMAGE("https://mitra.stanford.edu/kundaje/oak/projects/neuro-variants/variant_position/credible/roussos_2024/variant_figures/roussos_2024.childhood.GLU/rs10894902_profile_position.png",4,220,900)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-0.137598618</v>
      </c>
      <c r="G730" t="n">
        <v>0.0213309988541937</v>
      </c>
      <c r="H730" t="n">
        <v>0.0349718827722637</v>
      </c>
      <c r="I730" t="n">
        <v>0.01232803820424</v>
      </c>
      <c r="J730" t="n">
        <v>0.2613916161002194</v>
      </c>
      <c r="K730" t="n">
        <v>0.1136887978760028</v>
      </c>
      <c r="L730" t="b">
        <v>1</v>
      </c>
      <c r="M730" t="b">
        <v>0</v>
      </c>
      <c r="N730" t="inlineStr">
        <is>
          <t>ref</t>
        </is>
      </c>
      <c r="O730" t="n">
        <v>80</v>
      </c>
      <c r="P730" t="n">
        <v>0.01636</v>
      </c>
      <c r="Q730" t="n">
        <v>70</v>
      </c>
      <c r="R730" t="n">
        <v>0.09155000000000001</v>
      </c>
      <c r="S730">
        <f>IMAGE("https://mitra.stanford.edu/kundaje/oak/projects/neuro-variants/variant_position/credible/roussos_2024/variant_figures/roussos_2024.childhood.GLU/rs906627_count_position.png",4,220,900)</f>
        <v/>
      </c>
      <c r="T730">
        <f>IMAGE("https://mitra.stanford.edu/kundaje/oak/projects/neuro-variants/variant_position/credible/roussos_2024/variant_figures/roussos_2024.childhood.GLU/rs906627_profile_position.png",4,220,900)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0.0041567844599999</v>
      </c>
      <c r="G731" t="n">
        <v>0.7633883212873075</v>
      </c>
      <c r="H731" t="n">
        <v>0.009040229614528101</v>
      </c>
      <c r="I731" t="n">
        <v>0.769158130867127</v>
      </c>
      <c r="J731" t="n">
        <v>0.4303378079058794</v>
      </c>
      <c r="K731" t="n">
        <v>0.0566114965322883</v>
      </c>
      <c r="L731" t="b">
        <v>0</v>
      </c>
      <c r="M731" t="b">
        <v>0</v>
      </c>
      <c r="N731" t="inlineStr">
        <is>
          <t>alt</t>
        </is>
      </c>
      <c r="O731" t="n">
        <v>100</v>
      </c>
      <c r="P731" t="n">
        <v>0.012856</v>
      </c>
      <c r="Q731" t="n">
        <v>45</v>
      </c>
      <c r="R731" t="n">
        <v>0.03937</v>
      </c>
      <c r="S731">
        <f>IMAGE("https://mitra.stanford.edu/kundaje/oak/projects/neuro-variants/variant_position/credible/roussos_2024/variant_figures/roussos_2024.childhood.GLU/rs1154905_count_position.png",4,220,900)</f>
        <v/>
      </c>
      <c r="T731">
        <f>IMAGE("https://mitra.stanford.edu/kundaje/oak/projects/neuro-variants/variant_position/credible/roussos_2024/variant_figures/roussos_2024.childhood.GLU/rs1154905_profile_position.png",4,220,900)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-0.0346723214</v>
      </c>
      <c r="G732" t="n">
        <v>0.3003191518322522</v>
      </c>
      <c r="H732" t="n">
        <v>0.0176955659044656</v>
      </c>
      <c r="I732" t="n">
        <v>0.1501197783971939</v>
      </c>
      <c r="J732" t="n">
        <v>0.1674719523628009</v>
      </c>
      <c r="K732" t="n">
        <v>0.175336668019146</v>
      </c>
      <c r="L732" t="b">
        <v>0</v>
      </c>
      <c r="M732" t="b">
        <v>0</v>
      </c>
      <c r="N732" t="inlineStr">
        <is>
          <t>ref</t>
        </is>
      </c>
      <c r="O732" t="n">
        <v>-35</v>
      </c>
      <c r="P732" t="n">
        <v>0.002632</v>
      </c>
      <c r="Q732" t="n">
        <v>100</v>
      </c>
      <c r="R732" t="n">
        <v>0.10516</v>
      </c>
      <c r="S732">
        <f>IMAGE("https://mitra.stanford.edu/kundaje/oak/projects/neuro-variants/variant_position/credible/roussos_2024/variant_figures/roussos_2024.childhood.GLU/rs12226882_count_position.png",4,220,900)</f>
        <v/>
      </c>
      <c r="T732">
        <f>IMAGE("https://mitra.stanford.edu/kundaje/oak/projects/neuro-variants/variant_position/credible/roussos_2024/variant_figures/roussos_2024.childhood.GLU/rs12226882_profile_position.png",4,220,900)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-0.0559498824</v>
      </c>
      <c r="G733" t="n">
        <v>0.1545907744779973</v>
      </c>
      <c r="H733" t="n">
        <v>0.0224781526163643</v>
      </c>
      <c r="I733" t="n">
        <v>0.0681375877196365</v>
      </c>
      <c r="J733" t="n">
        <v>0.4615193629142757</v>
      </c>
      <c r="K733" t="n">
        <v>0.0496967046436934</v>
      </c>
      <c r="L733" t="b">
        <v>0</v>
      </c>
      <c r="M733" t="b">
        <v>0</v>
      </c>
      <c r="N733" t="inlineStr">
        <is>
          <t>ref</t>
        </is>
      </c>
      <c r="O733" t="n">
        <v>45</v>
      </c>
      <c r="P733" t="n">
        <v>0.002075</v>
      </c>
      <c r="Q733" t="n">
        <v>-100</v>
      </c>
      <c r="R733" t="n">
        <v>0.08655</v>
      </c>
      <c r="S733">
        <f>IMAGE("https://mitra.stanford.edu/kundaje/oak/projects/neuro-variants/variant_position/credible/roussos_2024/variant_figures/roussos_2024.childhood.GLU/rs7118700_count_position.png",4,220,900)</f>
        <v/>
      </c>
      <c r="T733">
        <f>IMAGE("https://mitra.stanford.edu/kundaje/oak/projects/neuro-variants/variant_position/credible/roussos_2024/variant_figures/roussos_2024.childhood.GLU/rs7118700_profile_position.png",4,220,900)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0.0390958742</v>
      </c>
      <c r="G734" t="n">
        <v>0.245137016750043</v>
      </c>
      <c r="H734" t="n">
        <v>0.0160595480122848</v>
      </c>
      <c r="I734" t="n">
        <v>0.204683782744743</v>
      </c>
      <c r="J734" t="n">
        <v>0.5071764863444838</v>
      </c>
      <c r="K734" t="n">
        <v>0.0410166333085216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0.08575000000000001</v>
      </c>
      <c r="Q734" t="n">
        <v>-100</v>
      </c>
      <c r="R734" t="n">
        <v>0.4478</v>
      </c>
      <c r="S734">
        <f>IMAGE("https://mitra.stanford.edu/kundaje/oak/projects/neuro-variants/variant_position/credible/roussos_2024/variant_figures/roussos_2024.childhood.GLU/rs1319913_count_position.png",4,220,900)</f>
        <v/>
      </c>
      <c r="T734">
        <f>IMAGE("https://mitra.stanford.edu/kundaje/oak/projects/neuro-variants/variant_position/credible/roussos_2024/variant_figures/roussos_2024.childhood.GLU/rs1319913_profile_position.png",4,220,900)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0.008671917079999999</v>
      </c>
      <c r="G735" t="n">
        <v>0.5056935242070658</v>
      </c>
      <c r="H735" t="n">
        <v>0.009664415014227001</v>
      </c>
      <c r="I735" t="n">
        <v>0.6702945580523529</v>
      </c>
      <c r="J735" t="n">
        <v>0.5623795934766708</v>
      </c>
      <c r="K735" t="n">
        <v>0.0317614279118041</v>
      </c>
      <c r="L735" t="b">
        <v>0</v>
      </c>
      <c r="M735" t="b">
        <v>0</v>
      </c>
      <c r="N735" t="inlineStr">
        <is>
          <t>alt</t>
        </is>
      </c>
      <c r="O735" t="n">
        <v>10</v>
      </c>
      <c r="P735" t="n">
        <v>0.00235</v>
      </c>
      <c r="Q735" t="n">
        <v>40</v>
      </c>
      <c r="R735" t="n">
        <v>0.031</v>
      </c>
      <c r="S735">
        <f>IMAGE("https://mitra.stanford.edu/kundaje/oak/projects/neuro-variants/variant_position/credible/roussos_2024/variant_figures/roussos_2024.childhood.GLU/rs11224103_count_position.png",4,220,900)</f>
        <v/>
      </c>
      <c r="T735">
        <f>IMAGE("https://mitra.stanford.edu/kundaje/oak/projects/neuro-variants/variant_position/credible/roussos_2024/variant_figures/roussos_2024.childhood.GLU/rs11224103_profile_position.png",4,220,900)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0.02682426624</v>
      </c>
      <c r="G736" t="n">
        <v>0.3749487432519837</v>
      </c>
      <c r="H736" t="n">
        <v>0.0099268191254577</v>
      </c>
      <c r="I736" t="n">
        <v>0.6586967730758323</v>
      </c>
      <c r="J736" t="n">
        <v>0.0650035542460362</v>
      </c>
      <c r="K736" t="n">
        <v>0.3185839765119014</v>
      </c>
      <c r="L736" t="b">
        <v>0</v>
      </c>
      <c r="M736" t="b">
        <v>0</v>
      </c>
      <c r="N736" t="inlineStr">
        <is>
          <t>alt</t>
        </is>
      </c>
      <c r="O736" t="n">
        <v>50</v>
      </c>
      <c r="P736" t="n">
        <v>0.005783</v>
      </c>
      <c r="Q736" t="n">
        <v>-80</v>
      </c>
      <c r="R736" t="n">
        <v>0.0631</v>
      </c>
      <c r="S736">
        <f>IMAGE("https://mitra.stanford.edu/kundaje/oak/projects/neuro-variants/variant_position/credible/roussos_2024/variant_figures/roussos_2024.childhood.GLU/rs11061971_count_position.png",4,220,900)</f>
        <v/>
      </c>
      <c r="T736">
        <f>IMAGE("https://mitra.stanford.edu/kundaje/oak/projects/neuro-variants/variant_position/credible/roussos_2024/variant_figures/roussos_2024.childhood.GLU/rs11061971_profile_position.png",4,220,900)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0.0462651586</v>
      </c>
      <c r="G737" t="n">
        <v>0.2263426608906914</v>
      </c>
      <c r="H737" t="n">
        <v>0.0161789315415309</v>
      </c>
      <c r="I737" t="n">
        <v>0.2006930419332537</v>
      </c>
      <c r="J737" t="n">
        <v>0.294617120133516</v>
      </c>
      <c r="K737" t="n">
        <v>0.0989303334963117</v>
      </c>
      <c r="L737" t="b">
        <v>0</v>
      </c>
      <c r="M737" t="b">
        <v>0</v>
      </c>
      <c r="N737" t="inlineStr">
        <is>
          <t>alt</t>
        </is>
      </c>
      <c r="O737" t="n">
        <v>-100</v>
      </c>
      <c r="P737" t="n">
        <v>0.01942</v>
      </c>
      <c r="Q737" t="n">
        <v>-50</v>
      </c>
      <c r="R737" t="n">
        <v>0.251</v>
      </c>
      <c r="S737">
        <f>IMAGE("https://mitra.stanford.edu/kundaje/oak/projects/neuro-variants/variant_position/credible/roussos_2024/variant_figures/roussos_2024.childhood.GLU/rs7294668_count_position.png",4,220,900)</f>
        <v/>
      </c>
      <c r="T737">
        <f>IMAGE("https://mitra.stanford.edu/kundaje/oak/projects/neuro-variants/variant_position/credible/roussos_2024/variant_figures/roussos_2024.childhood.GLU/rs7294668_profile_position.png",4,220,900)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0.01416294566</v>
      </c>
      <c r="G738" t="n">
        <v>0.5765303085486176</v>
      </c>
      <c r="H738" t="n">
        <v>0.0362194415545903</v>
      </c>
      <c r="I738" t="n">
        <v>0.009958024622166</v>
      </c>
      <c r="J738" t="n">
        <v>0.0299463257337714</v>
      </c>
      <c r="K738" t="n">
        <v>0.4299848478500651</v>
      </c>
      <c r="L738" t="b">
        <v>1</v>
      </c>
      <c r="M738" t="b">
        <v>0</v>
      </c>
      <c r="N738" t="inlineStr">
        <is>
          <t>alt</t>
        </is>
      </c>
      <c r="O738" t="n">
        <v>-90</v>
      </c>
      <c r="P738" t="n">
        <v>0.010284</v>
      </c>
      <c r="Q738" t="n">
        <v>75</v>
      </c>
      <c r="R738" t="n">
        <v>0.0948</v>
      </c>
      <c r="S738">
        <f>IMAGE("https://mitra.stanford.edu/kundaje/oak/projects/neuro-variants/variant_position/credible/roussos_2024/variant_figures/roussos_2024.childhood.GLU/rs7306506_count_position.png",4,220,900)</f>
        <v/>
      </c>
      <c r="T738">
        <f>IMAGE("https://mitra.stanford.edu/kundaje/oak/projects/neuro-variants/variant_position/credible/roussos_2024/variant_figures/roussos_2024.childhood.GLU/rs7306506_profile_position.png",4,220,900)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-0.0789303182</v>
      </c>
      <c r="G739" t="n">
        <v>0.085272455362876</v>
      </c>
      <c r="H739" t="n">
        <v>0.0163889052440364</v>
      </c>
      <c r="I739" t="n">
        <v>0.194122327100967</v>
      </c>
      <c r="J739" t="n">
        <v>0.0136647882390513</v>
      </c>
      <c r="K739" t="n">
        <v>0.5549969272479118</v>
      </c>
      <c r="L739" t="b">
        <v>0</v>
      </c>
      <c r="M739" t="b">
        <v>0</v>
      </c>
      <c r="N739" t="inlineStr">
        <is>
          <t>ref</t>
        </is>
      </c>
      <c r="O739" t="n">
        <v>-90</v>
      </c>
      <c r="P739" t="n">
        <v>0.002686</v>
      </c>
      <c r="Q739" t="n">
        <v>-5</v>
      </c>
      <c r="R739" t="n">
        <v>0.00924</v>
      </c>
      <c r="S739">
        <f>IMAGE("https://mitra.stanford.edu/kundaje/oak/projects/neuro-variants/variant_position/credible/roussos_2024/variant_figures/roussos_2024.childhood.GLU/rs4766416_count_position.png",4,220,900)</f>
        <v/>
      </c>
      <c r="T739">
        <f>IMAGE("https://mitra.stanford.edu/kundaje/oak/projects/neuro-variants/variant_position/credible/roussos_2024/variant_figures/roussos_2024.childhood.GLU/rs4766416_profile_position.png",4,220,900)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-0.010624175666</v>
      </c>
      <c r="G740" t="n">
        <v>0.6497778530946094</v>
      </c>
      <c r="H740" t="n">
        <v>0.0110496925855187</v>
      </c>
      <c r="I740" t="n">
        <v>0.5347831227533296</v>
      </c>
      <c r="J740" t="n">
        <v>0.2714413755447268</v>
      </c>
      <c r="K740" t="n">
        <v>0.1089472160559772</v>
      </c>
      <c r="L740" t="b">
        <v>0</v>
      </c>
      <c r="M740" t="b">
        <v>0</v>
      </c>
      <c r="N740" t="inlineStr">
        <is>
          <t>ref</t>
        </is>
      </c>
      <c r="O740" t="n">
        <v>60</v>
      </c>
      <c r="P740" t="n">
        <v>0.001255</v>
      </c>
      <c r="Q740" t="n">
        <v>100</v>
      </c>
      <c r="R740" t="n">
        <v>0.09216000000000001</v>
      </c>
      <c r="S740">
        <f>IMAGE("https://mitra.stanford.edu/kundaje/oak/projects/neuro-variants/variant_position/credible/roussos_2024/variant_figures/roussos_2024.childhood.GLU/rs7294540_count_position.png",4,220,900)</f>
        <v/>
      </c>
      <c r="T740">
        <f>IMAGE("https://mitra.stanford.edu/kundaje/oak/projects/neuro-variants/variant_position/credible/roussos_2024/variant_figures/roussos_2024.childhood.GLU/rs7294540_profile_position.png",4,220,900)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-0.0444693124</v>
      </c>
      <c r="G741" t="n">
        <v>0.2163130156258576</v>
      </c>
      <c r="H741" t="n">
        <v>0.016108060328238</v>
      </c>
      <c r="I741" t="n">
        <v>0.1977049589186682</v>
      </c>
      <c r="J741" t="n">
        <v>0.1501756518693273</v>
      </c>
      <c r="K741" t="n">
        <v>0.1962488905501234</v>
      </c>
      <c r="L741" t="b">
        <v>0</v>
      </c>
      <c r="M741" t="b">
        <v>0</v>
      </c>
      <c r="N741" t="inlineStr">
        <is>
          <t>ref</t>
        </is>
      </c>
      <c r="O741" t="n">
        <v>-80</v>
      </c>
      <c r="P741" t="n">
        <v>0.02054</v>
      </c>
      <c r="Q741" t="n">
        <v>-50</v>
      </c>
      <c r="R741" t="n">
        <v>0.1636</v>
      </c>
      <c r="S741">
        <f>IMAGE("https://mitra.stanford.edu/kundaje/oak/projects/neuro-variants/variant_position/credible/roussos_2024/variant_figures/roussos_2024.childhood.GLU/rs2286379_count_position.png",4,220,900)</f>
        <v/>
      </c>
      <c r="T741">
        <f>IMAGE("https://mitra.stanford.edu/kundaje/oak/projects/neuro-variants/variant_position/credible/roussos_2024/variant_figures/roussos_2024.childhood.GLU/rs2286379_profile_position.png",4,220,900)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-0.0771006724</v>
      </c>
      <c r="G742" t="n">
        <v>0.08506737996010599</v>
      </c>
      <c r="H742" t="n">
        <v>0.0127205885438619</v>
      </c>
      <c r="I742" t="n">
        <v>0.3895684086152022</v>
      </c>
      <c r="J742" t="n">
        <v>0.2356053035532158</v>
      </c>
      <c r="K742" t="n">
        <v>0.128268796650329</v>
      </c>
      <c r="L742" t="b">
        <v>0</v>
      </c>
      <c r="M742" t="b">
        <v>0</v>
      </c>
      <c r="N742" t="inlineStr">
        <is>
          <t>ref</t>
        </is>
      </c>
      <c r="O742" t="n">
        <v>100</v>
      </c>
      <c r="P742" t="n">
        <v>0.02359</v>
      </c>
      <c r="Q742" t="n">
        <v>85</v>
      </c>
      <c r="R742" t="n">
        <v>0.02661</v>
      </c>
      <c r="S742">
        <f>IMAGE("https://mitra.stanford.edu/kundaje/oak/projects/neuro-variants/variant_position/credible/roussos_2024/variant_figures/roussos_2024.childhood.GLU/rs2283288_count_position.png",4,220,900)</f>
        <v/>
      </c>
      <c r="T742">
        <f>IMAGE("https://mitra.stanford.edu/kundaje/oak/projects/neuro-variants/variant_position/credible/roussos_2024/variant_figures/roussos_2024.childhood.GLU/rs2283288_profile_position.png",4,220,900)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0.0700390369</v>
      </c>
      <c r="G743" t="n">
        <v>0.09390789474764639</v>
      </c>
      <c r="H743" t="n">
        <v>0.0196152106960128</v>
      </c>
      <c r="I743" t="n">
        <v>0.1057402693896564</v>
      </c>
      <c r="J743" t="n">
        <v>0.4681807411375647</v>
      </c>
      <c r="K743" t="n">
        <v>0.0482702995177179</v>
      </c>
      <c r="L743" t="b">
        <v>0</v>
      </c>
      <c r="M743" t="b">
        <v>0</v>
      </c>
      <c r="N743" t="inlineStr">
        <is>
          <t>alt</t>
        </is>
      </c>
      <c r="O743" t="n">
        <v>-20</v>
      </c>
      <c r="P743" t="n">
        <v>0.00103</v>
      </c>
      <c r="Q743" t="n">
        <v>-75</v>
      </c>
      <c r="R743" t="n">
        <v>0.0669</v>
      </c>
      <c r="S743">
        <f>IMAGE("https://mitra.stanford.edu/kundaje/oak/projects/neuro-variants/variant_position/credible/roussos_2024/variant_figures/roussos_2024.childhood.GLU/rs2238048_count_position.png",4,220,900)</f>
        <v/>
      </c>
      <c r="T743">
        <f>IMAGE("https://mitra.stanford.edu/kundaje/oak/projects/neuro-variants/variant_position/credible/roussos_2024/variant_figures/roussos_2024.childhood.GLU/rs2238048_profile_position.png",4,220,900)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-0.038303459</v>
      </c>
      <c r="G744" t="n">
        <v>0.2617833189644367</v>
      </c>
      <c r="H744" t="n">
        <v>0.0131781161630179</v>
      </c>
      <c r="I744" t="n">
        <v>0.3548154084460511</v>
      </c>
      <c r="J744" t="n">
        <v>0.4620221084405617</v>
      </c>
      <c r="K744" t="n">
        <v>0.0495940371398441</v>
      </c>
      <c r="L744" t="b">
        <v>0</v>
      </c>
      <c r="M744" t="b">
        <v>0</v>
      </c>
      <c r="N744" t="inlineStr">
        <is>
          <t>ref</t>
        </is>
      </c>
      <c r="O744" t="n">
        <v>-65</v>
      </c>
      <c r="P744" t="n">
        <v>0.0004692</v>
      </c>
      <c r="Q744" t="n">
        <v>-35</v>
      </c>
      <c r="R744" t="n">
        <v>0.1113</v>
      </c>
      <c r="S744">
        <f>IMAGE("https://mitra.stanford.edu/kundaje/oak/projects/neuro-variants/variant_position/credible/roussos_2024/variant_figures/roussos_2024.childhood.GLU/rs11614764_count_position.png",4,220,900)</f>
        <v/>
      </c>
      <c r="T744">
        <f>IMAGE("https://mitra.stanford.edu/kundaje/oak/projects/neuro-variants/variant_position/credible/roussos_2024/variant_figures/roussos_2024.childhood.GLU/rs11614764_profile_position.png",4,220,900)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-0.096554473</v>
      </c>
      <c r="G745" t="n">
        <v>0.0490415528596303</v>
      </c>
      <c r="H745" t="n">
        <v>0.0142375184490607</v>
      </c>
      <c r="I745" t="n">
        <v>0.2884480128156755</v>
      </c>
      <c r="J745" t="n">
        <v>0.2258491557377893</v>
      </c>
      <c r="K745" t="n">
        <v>0.1321879179032812</v>
      </c>
      <c r="L745" t="b">
        <v>0</v>
      </c>
      <c r="M745" t="b">
        <v>0</v>
      </c>
      <c r="N745" t="inlineStr">
        <is>
          <t>ref</t>
        </is>
      </c>
      <c r="O745" t="n">
        <v>-65</v>
      </c>
      <c r="P745" t="n">
        <v>0.010254</v>
      </c>
      <c r="Q745" t="n">
        <v>-15</v>
      </c>
      <c r="R745" t="n">
        <v>0.01099</v>
      </c>
      <c r="S745">
        <f>IMAGE("https://mitra.stanford.edu/kundaje/oak/projects/neuro-variants/variant_position/credible/roussos_2024/variant_figures/roussos_2024.childhood.GLU/rs2239018_count_position.png",4,220,900)</f>
        <v/>
      </c>
      <c r="T745">
        <f>IMAGE("https://mitra.stanford.edu/kundaje/oak/projects/neuro-variants/variant_position/credible/roussos_2024/variant_figures/roussos_2024.childhood.GLU/rs2239018_profile_position.png",4,220,900)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-0.0204670949999999</v>
      </c>
      <c r="G746" t="n">
        <v>0.4551853004256177</v>
      </c>
      <c r="H746" t="n">
        <v>0.0089415200682092</v>
      </c>
      <c r="I746" t="n">
        <v>0.7732356209581875</v>
      </c>
      <c r="J746" t="n">
        <v>0.0377079749039323</v>
      </c>
      <c r="K746" t="n">
        <v>0.411460133627518</v>
      </c>
      <c r="L746" t="b">
        <v>0</v>
      </c>
      <c r="M746" t="b">
        <v>0</v>
      </c>
      <c r="N746" t="inlineStr">
        <is>
          <t>ref</t>
        </is>
      </c>
      <c r="O746" t="n">
        <v>-95</v>
      </c>
      <c r="P746" t="n">
        <v>0.002012</v>
      </c>
      <c r="Q746" t="n">
        <v>60</v>
      </c>
      <c r="R746" t="n">
        <v>0.0447</v>
      </c>
      <c r="S746">
        <f>IMAGE("https://mitra.stanford.edu/kundaje/oak/projects/neuro-variants/variant_position/credible/roussos_2024/variant_figures/roussos_2024.childhood.GLU/rs2238053_count_position.png",4,220,900)</f>
        <v/>
      </c>
      <c r="T746">
        <f>IMAGE("https://mitra.stanford.edu/kundaje/oak/projects/neuro-variants/variant_position/credible/roussos_2024/variant_figures/roussos_2024.childhood.GLU/rs2238053_profile_position.png",4,220,900)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-0.027275538</v>
      </c>
      <c r="G747" t="n">
        <v>0.373582784206511</v>
      </c>
      <c r="H747" t="n">
        <v>0.0150289117264346</v>
      </c>
      <c r="I747" t="n">
        <v>0.249031830743663</v>
      </c>
      <c r="J747" t="n">
        <v>0.1568926617697054</v>
      </c>
      <c r="K747" t="n">
        <v>0.1852432226872607</v>
      </c>
      <c r="L747" t="b">
        <v>0</v>
      </c>
      <c r="M747" t="b">
        <v>0</v>
      </c>
      <c r="N747" t="inlineStr">
        <is>
          <t>ref</t>
        </is>
      </c>
      <c r="O747" t="n">
        <v>80</v>
      </c>
      <c r="P747" t="n">
        <v>0.001894</v>
      </c>
      <c r="Q747" t="n">
        <v>100</v>
      </c>
      <c r="R747" t="n">
        <v>0.1195</v>
      </c>
      <c r="S747">
        <f>IMAGE("https://mitra.stanford.edu/kundaje/oak/projects/neuro-variants/variant_position/credible/roussos_2024/variant_figures/roussos_2024.childhood.GLU/rs7957545_count_position.png",4,220,900)</f>
        <v/>
      </c>
      <c r="T747">
        <f>IMAGE("https://mitra.stanford.edu/kundaje/oak/projects/neuro-variants/variant_position/credible/roussos_2024/variant_figures/roussos_2024.childhood.GLU/rs7957545_profile_position.png",4,220,900)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0.1095172209999999</v>
      </c>
      <c r="G748" t="n">
        <v>0.0375586396413404</v>
      </c>
      <c r="H748" t="n">
        <v>0.0128253435617457</v>
      </c>
      <c r="I748" t="n">
        <v>0.3818601342777696</v>
      </c>
      <c r="J748" t="n">
        <v>0.015654135803105</v>
      </c>
      <c r="K748" t="n">
        <v>0.5265530431871904</v>
      </c>
      <c r="L748" t="b">
        <v>0</v>
      </c>
      <c r="M748" t="b">
        <v>0</v>
      </c>
      <c r="N748" t="inlineStr">
        <is>
          <t>alt</t>
        </is>
      </c>
      <c r="O748" t="n">
        <v>30</v>
      </c>
      <c r="P748" t="n">
        <v>0.005066</v>
      </c>
      <c r="Q748" t="n">
        <v>-60</v>
      </c>
      <c r="R748" t="n">
        <v>0.06270000000000001</v>
      </c>
      <c r="S748">
        <f>IMAGE("https://mitra.stanford.edu/kundaje/oak/projects/neuro-variants/variant_position/credible/roussos_2024/variant_figures/roussos_2024.childhood.GLU/rs10848642_count_position.png",4,220,900)</f>
        <v/>
      </c>
      <c r="T748">
        <f>IMAGE("https://mitra.stanford.edu/kundaje/oak/projects/neuro-variants/variant_position/credible/roussos_2024/variant_figures/roussos_2024.childhood.GLU/rs10848642_profile_position.png",4,220,900)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0.0568995865999999</v>
      </c>
      <c r="G749" t="n">
        <v>0.1348967528463955</v>
      </c>
      <c r="H749" t="n">
        <v>0.0142324555388081</v>
      </c>
      <c r="I749" t="n">
        <v>0.2904462723098762</v>
      </c>
      <c r="J749" t="n">
        <v>0.014709427508834</v>
      </c>
      <c r="K749" t="n">
        <v>0.5414037764931433</v>
      </c>
      <c r="L749" t="b">
        <v>0</v>
      </c>
      <c r="M749" t="b">
        <v>0</v>
      </c>
      <c r="N749" t="inlineStr">
        <is>
          <t>alt</t>
        </is>
      </c>
      <c r="O749" t="n">
        <v>-85</v>
      </c>
      <c r="P749" t="n">
        <v>0.00548</v>
      </c>
      <c r="Q749" t="n">
        <v>-85</v>
      </c>
      <c r="R749" t="n">
        <v>0.05103</v>
      </c>
      <c r="S749">
        <f>IMAGE("https://mitra.stanford.edu/kundaje/oak/projects/neuro-variants/variant_position/credible/roussos_2024/variant_figures/roussos_2024.childhood.GLU/rs11062162_count_position.png",4,220,900)</f>
        <v/>
      </c>
      <c r="T749">
        <f>IMAGE("https://mitra.stanford.edu/kundaje/oak/projects/neuro-variants/variant_position/credible/roussos_2024/variant_figures/roussos_2024.childhood.GLU/rs11062162_profile_position.png",4,220,900)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0.00489716156</v>
      </c>
      <c r="G750" t="n">
        <v>0.6892621750359855</v>
      </c>
      <c r="H750" t="n">
        <v>0.0102502138715948</v>
      </c>
      <c r="I750" t="n">
        <v>0.634468714179685</v>
      </c>
      <c r="J750" t="n">
        <v>0.0022963520042856</v>
      </c>
      <c r="K750" t="n">
        <v>0.7622071857532478</v>
      </c>
      <c r="L750" t="b">
        <v>0</v>
      </c>
      <c r="M750" t="b">
        <v>0</v>
      </c>
      <c r="N750" t="inlineStr">
        <is>
          <t>alt</t>
        </is>
      </c>
      <c r="O750" t="n">
        <v>-5</v>
      </c>
      <c r="P750" t="n">
        <v>0.0007896</v>
      </c>
      <c r="Q750" t="n">
        <v>-40</v>
      </c>
      <c r="R750" t="n">
        <v>0.06476</v>
      </c>
      <c r="S750">
        <f>IMAGE("https://mitra.stanford.edu/kundaje/oak/projects/neuro-variants/variant_position/credible/roussos_2024/variant_figures/roussos_2024.childhood.GLU/rs1108222_count_position.png",4,220,900)</f>
        <v/>
      </c>
      <c r="T750">
        <f>IMAGE("https://mitra.stanford.edu/kundaje/oak/projects/neuro-variants/variant_position/credible/roussos_2024/variant_figures/roussos_2024.childhood.GLU/rs1108222_profile_position.png",4,220,900)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0.0756873808</v>
      </c>
      <c r="G751" t="n">
        <v>0.0860726986085634</v>
      </c>
      <c r="H751" t="n">
        <v>0.0326829840368394</v>
      </c>
      <c r="I751" t="n">
        <v>0.0152954208729395</v>
      </c>
      <c r="J751" t="n">
        <v>0.098166215088547</v>
      </c>
      <c r="K751" t="n">
        <v>0.2599445466080777</v>
      </c>
      <c r="L751" t="b">
        <v>1</v>
      </c>
      <c r="M751" t="b">
        <v>0</v>
      </c>
      <c r="N751" t="inlineStr">
        <is>
          <t>alt</t>
        </is>
      </c>
      <c r="O751" t="n">
        <v>-25</v>
      </c>
      <c r="P751" t="n">
        <v>0.007584</v>
      </c>
      <c r="Q751" t="n">
        <v>55</v>
      </c>
      <c r="R751" t="n">
        <v>0.0437</v>
      </c>
      <c r="S751">
        <f>IMAGE("https://mitra.stanford.edu/kundaje/oak/projects/neuro-variants/variant_position/credible/roussos_2024/variant_figures/roussos_2024.childhood.GLU/rs11062166_count_position.png",4,220,900)</f>
        <v/>
      </c>
      <c r="T751">
        <f>IMAGE("https://mitra.stanford.edu/kundaje/oak/projects/neuro-variants/variant_position/credible/roussos_2024/variant_figures/roussos_2024.childhood.GLU/rs11062166_profile_position.png",4,220,900)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-0.0620891402</v>
      </c>
      <c r="G752" t="n">
        <v>0.1302026547270231</v>
      </c>
      <c r="H752" t="n">
        <v>0.0154469889531488</v>
      </c>
      <c r="I752" t="n">
        <v>0.225799467453981</v>
      </c>
      <c r="J752" t="n">
        <v>0.6312217334418495</v>
      </c>
      <c r="K752" t="n">
        <v>0.0226776660032651</v>
      </c>
      <c r="L752" t="b">
        <v>0</v>
      </c>
      <c r="M752" t="b">
        <v>0</v>
      </c>
      <c r="N752" t="inlineStr">
        <is>
          <t>ref</t>
        </is>
      </c>
      <c r="O752" t="n">
        <v>-20</v>
      </c>
      <c r="P752" t="n">
        <v>0.006653</v>
      </c>
      <c r="Q752" t="n">
        <v>20</v>
      </c>
      <c r="R752" t="n">
        <v>0.004883</v>
      </c>
      <c r="S752">
        <f>IMAGE("https://mitra.stanford.edu/kundaje/oak/projects/neuro-variants/variant_position/credible/roussos_2024/variant_figures/roussos_2024.childhood.GLU/rs11062170_count_position.png",4,220,900)</f>
        <v/>
      </c>
      <c r="T752">
        <f>IMAGE("https://mitra.stanford.edu/kundaje/oak/projects/neuro-variants/variant_position/credible/roussos_2024/variant_figures/roussos_2024.childhood.GLU/rs11062170_profile_position.png",4,220,900)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0.0453456378</v>
      </c>
      <c r="G753" t="n">
        <v>0.1975093333171843</v>
      </c>
      <c r="H753" t="n">
        <v>0.0091880368781943</v>
      </c>
      <c r="I753" t="n">
        <v>0.7423076543681559</v>
      </c>
      <c r="J753" t="n">
        <v>0.187614740333996</v>
      </c>
      <c r="K753" t="n">
        <v>0.1568854437061738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0.07654</v>
      </c>
      <c r="Q753" t="n">
        <v>45</v>
      </c>
      <c r="R753" t="n">
        <v>0.04614</v>
      </c>
      <c r="S753">
        <f>IMAGE("https://mitra.stanford.edu/kundaje/oak/projects/neuro-variants/variant_position/credible/roussos_2024/variant_figures/roussos_2024.childhood.GLU/rs2370414_count_position.png",4,220,900)</f>
        <v/>
      </c>
      <c r="T753">
        <f>IMAGE("https://mitra.stanford.edu/kundaje/oak/projects/neuro-variants/variant_position/credible/roussos_2024/variant_figures/roussos_2024.childhood.GLU/rs2370414_profile_position.png",4,220,900)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0.0319389665999999</v>
      </c>
      <c r="G754" t="n">
        <v>0.3025905932497179</v>
      </c>
      <c r="H754" t="n">
        <v>0.016927458454588</v>
      </c>
      <c r="I754" t="n">
        <v>0.1686353024494615</v>
      </c>
      <c r="J754" t="n">
        <v>0.3211657926998877</v>
      </c>
      <c r="K754" t="n">
        <v>0.08914968031616501</v>
      </c>
      <c r="L754" t="b">
        <v>0</v>
      </c>
      <c r="M754" t="b">
        <v>0</v>
      </c>
      <c r="N754" t="inlineStr">
        <is>
          <t>alt</t>
        </is>
      </c>
      <c r="O754" t="n">
        <v>-80</v>
      </c>
      <c r="P754" t="n">
        <v>0.0048</v>
      </c>
      <c r="Q754" t="n">
        <v>-5</v>
      </c>
      <c r="R754" t="n">
        <v>0.01044</v>
      </c>
      <c r="S754">
        <f>IMAGE("https://mitra.stanford.edu/kundaje/oak/projects/neuro-variants/variant_position/credible/roussos_2024/variant_figures/roussos_2024.childhood.GLU/rs2238057_count_position.png",4,220,900)</f>
        <v/>
      </c>
      <c r="T754">
        <f>IMAGE("https://mitra.stanford.edu/kundaje/oak/projects/neuro-variants/variant_position/credible/roussos_2024/variant_figures/roussos_2024.childhood.GLU/rs2238057_profile_position.png",4,220,900)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-0.012341398108</v>
      </c>
      <c r="G755" t="n">
        <v>0.6015975742340486</v>
      </c>
      <c r="H755" t="n">
        <v>0.0139278263370941</v>
      </c>
      <c r="I755" t="n">
        <v>0.3063908116006226</v>
      </c>
      <c r="J755" t="n">
        <v>0.3798211544603211</v>
      </c>
      <c r="K755" t="n">
        <v>0.07029246482335449</v>
      </c>
      <c r="L755" t="b">
        <v>0</v>
      </c>
      <c r="M755" t="b">
        <v>0</v>
      </c>
      <c r="N755" t="inlineStr">
        <is>
          <t>ref</t>
        </is>
      </c>
      <c r="O755" t="n">
        <v>-45</v>
      </c>
      <c r="P755" t="n">
        <v>0.00702</v>
      </c>
      <c r="Q755" t="n">
        <v>100</v>
      </c>
      <c r="R755" t="n">
        <v>0.1903</v>
      </c>
      <c r="S755">
        <f>IMAGE("https://mitra.stanford.edu/kundaje/oak/projects/neuro-variants/variant_position/credible/roussos_2024/variant_figures/roussos_2024.childhood.GLU/rs6489486_count_position.png",4,220,900)</f>
        <v/>
      </c>
      <c r="T755">
        <f>IMAGE("https://mitra.stanford.edu/kundaje/oak/projects/neuro-variants/variant_position/credible/roussos_2024/variant_figures/roussos_2024.childhood.GLU/rs6489486_profile_position.png",4,220,900)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0.0244919078</v>
      </c>
      <c r="G756" t="n">
        <v>0.3927015088557083</v>
      </c>
      <c r="H756" t="n">
        <v>0.0285117795983719</v>
      </c>
      <c r="I756" t="n">
        <v>0.0266530999155822</v>
      </c>
      <c r="J756" t="n">
        <v>0.0187149082592435</v>
      </c>
      <c r="K756" t="n">
        <v>0.5052844096657612</v>
      </c>
      <c r="L756" t="b">
        <v>0</v>
      </c>
      <c r="M756" t="b">
        <v>0</v>
      </c>
      <c r="N756" t="inlineStr">
        <is>
          <t>alt</t>
        </is>
      </c>
      <c r="O756" t="n">
        <v>10</v>
      </c>
      <c r="P756" t="n">
        <v>0.001068</v>
      </c>
      <c r="Q756" t="n">
        <v>10</v>
      </c>
      <c r="R756" t="n">
        <v>0.01605</v>
      </c>
      <c r="S756">
        <f>IMAGE("https://mitra.stanford.edu/kundaje/oak/projects/neuro-variants/variant_position/credible/roussos_2024/variant_figures/roussos_2024.childhood.GLU/rs7132826_count_position.png",4,220,900)</f>
        <v/>
      </c>
      <c r="T756">
        <f>IMAGE("https://mitra.stanford.edu/kundaje/oak/projects/neuro-variants/variant_position/credible/roussos_2024/variant_figures/roussos_2024.childhood.GLU/rs7132826_profile_position.png",4,220,900)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0.0020335305</v>
      </c>
      <c r="G757" t="n">
        <v>0.8900937807382941</v>
      </c>
      <c r="H757" t="n">
        <v>0.0188156352174439</v>
      </c>
      <c r="I757" t="n">
        <v>0.119540986018101</v>
      </c>
      <c r="J757" t="n">
        <v>0.0444486797778853</v>
      </c>
      <c r="K757" t="n">
        <v>0.3691097274147519</v>
      </c>
      <c r="L757" t="b">
        <v>0</v>
      </c>
      <c r="M757" t="b">
        <v>0</v>
      </c>
      <c r="N757" t="inlineStr">
        <is>
          <t>alt</t>
        </is>
      </c>
      <c r="O757" t="n">
        <v>-80</v>
      </c>
      <c r="P757" t="n">
        <v>0.01672</v>
      </c>
      <c r="Q757" t="n">
        <v>-80</v>
      </c>
      <c r="R757" t="n">
        <v>0.09515</v>
      </c>
      <c r="S757">
        <f>IMAGE("https://mitra.stanford.edu/kundaje/oak/projects/neuro-variants/variant_position/credible/roussos_2024/variant_figures/roussos_2024.childhood.GLU/rs11056556_count_position.png",4,220,900)</f>
        <v/>
      </c>
      <c r="T757">
        <f>IMAGE("https://mitra.stanford.edu/kundaje/oak/projects/neuro-variants/variant_position/credible/roussos_2024/variant_figures/roussos_2024.childhood.GLU/rs11056556_profile_position.png",4,220,900)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-0.1708562819999999</v>
      </c>
      <c r="G758" t="n">
        <v>0.012603205989042</v>
      </c>
      <c r="H758" t="n">
        <v>0.0264808942526706</v>
      </c>
      <c r="I758" t="n">
        <v>0.0372093341433415</v>
      </c>
      <c r="J758" t="n">
        <v>0.0548590149072289</v>
      </c>
      <c r="K758" t="n">
        <v>0.344264353625192</v>
      </c>
      <c r="L758" t="b">
        <v>1</v>
      </c>
      <c r="M758" t="b">
        <v>0</v>
      </c>
      <c r="N758" t="inlineStr">
        <is>
          <t>ref</t>
        </is>
      </c>
      <c r="O758" t="n">
        <v>100</v>
      </c>
      <c r="P758" t="n">
        <v>0.0216</v>
      </c>
      <c r="Q758" t="n">
        <v>-100</v>
      </c>
      <c r="R758" t="n">
        <v>0.1279</v>
      </c>
      <c r="S758">
        <f>IMAGE("https://mitra.stanford.edu/kundaje/oak/projects/neuro-variants/variant_position/credible/roussos_2024/variant_figures/roussos_2024.childhood.GLU/rs10846207_count_position.png",4,220,900)</f>
        <v/>
      </c>
      <c r="T758">
        <f>IMAGE("https://mitra.stanford.edu/kundaje/oak/projects/neuro-variants/variant_position/credible/roussos_2024/variant_figures/roussos_2024.childhood.GLU/rs10846207_profile_position.png",4,220,900)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0.00462645048</v>
      </c>
      <c r="G759" t="n">
        <v>0.7514079796226542</v>
      </c>
      <c r="H759" t="n">
        <v>0.025809300711252</v>
      </c>
      <c r="I759" t="n">
        <v>0.0404981714169813</v>
      </c>
      <c r="J759" t="n">
        <v>0.0472725024982743</v>
      </c>
      <c r="K759" t="n">
        <v>0.3564018056392474</v>
      </c>
      <c r="L759" t="b">
        <v>0</v>
      </c>
      <c r="M759" t="b">
        <v>0</v>
      </c>
      <c r="N759" t="inlineStr">
        <is>
          <t>alt</t>
        </is>
      </c>
      <c r="O759" t="n">
        <v>-85</v>
      </c>
      <c r="P759" t="n">
        <v>0.02307</v>
      </c>
      <c r="Q759" t="n">
        <v>-85</v>
      </c>
      <c r="R759" t="n">
        <v>0.138</v>
      </c>
      <c r="S759">
        <f>IMAGE("https://mitra.stanford.edu/kundaje/oak/projects/neuro-variants/variant_position/credible/roussos_2024/variant_figures/roussos_2024.childhood.GLU/rs11046902_count_position.png",4,220,900)</f>
        <v/>
      </c>
      <c r="T759">
        <f>IMAGE("https://mitra.stanford.edu/kundaje/oak/projects/neuro-variants/variant_position/credible/roussos_2024/variant_figures/roussos_2024.childhood.GLU/rs11046902_profile_position.png",4,220,900)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-0.0289109472</v>
      </c>
      <c r="G760" t="n">
        <v>0.3544726811972856</v>
      </c>
      <c r="H760" t="n">
        <v>0.0265051840237933</v>
      </c>
      <c r="I760" t="n">
        <v>0.0343184299333661</v>
      </c>
      <c r="J760" t="n">
        <v>0.0001751367612061</v>
      </c>
      <c r="K760" t="n">
        <v>0.9170281335711484</v>
      </c>
      <c r="L760" t="b">
        <v>0</v>
      </c>
      <c r="M760" t="b">
        <v>0</v>
      </c>
      <c r="N760" t="inlineStr">
        <is>
          <t>ref</t>
        </is>
      </c>
      <c r="O760" t="n">
        <v>-10</v>
      </c>
      <c r="P760" t="n">
        <v>0.000595</v>
      </c>
      <c r="Q760" t="n">
        <v>-70</v>
      </c>
      <c r="R760" t="n">
        <v>0.0649</v>
      </c>
      <c r="S760">
        <f>IMAGE("https://mitra.stanford.edu/kundaje/oak/projects/neuro-variants/variant_position/credible/roussos_2024/variant_figures/roussos_2024.childhood.GLU/rs2418108_count_position.png",4,220,900)</f>
        <v/>
      </c>
      <c r="T760">
        <f>IMAGE("https://mitra.stanford.edu/kundaje/oak/projects/neuro-variants/variant_position/credible/roussos_2024/variant_figures/roussos_2024.childhood.GLU/rs2418108_profile_position.png",4,220,900)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-0.0286892388</v>
      </c>
      <c r="G761" t="n">
        <v>0.3001055780918762</v>
      </c>
      <c r="H761" t="n">
        <v>0.0099475905618978</v>
      </c>
      <c r="I761" t="n">
        <v>0.6592396714003628</v>
      </c>
      <c r="J761" t="n">
        <v>0.0559860714764028</v>
      </c>
      <c r="K761" t="n">
        <v>0.3399590411546461</v>
      </c>
      <c r="L761" t="b">
        <v>0</v>
      </c>
      <c r="M761" t="b">
        <v>0</v>
      </c>
      <c r="N761" t="inlineStr">
        <is>
          <t>ref</t>
        </is>
      </c>
      <c r="O761" t="n">
        <v>-90</v>
      </c>
      <c r="P761" t="n">
        <v>0.0341</v>
      </c>
      <c r="Q761" t="n">
        <v>70</v>
      </c>
      <c r="R761" t="n">
        <v>0.11255</v>
      </c>
      <c r="S761">
        <f>IMAGE("https://mitra.stanford.edu/kundaje/oak/projects/neuro-variants/variant_position/credible/roussos_2024/variant_figures/roussos_2024.childhood.GLU/rs77777611_count_position.png",4,220,900)</f>
        <v/>
      </c>
      <c r="T761">
        <f>IMAGE("https://mitra.stanford.edu/kundaje/oak/projects/neuro-variants/variant_position/credible/roussos_2024/variant_figures/roussos_2024.childhood.GLU/rs77777611_profile_position.png",4,220,900)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-0.06398176260000001</v>
      </c>
      <c r="G762" t="n">
        <v>0.1201129261905815</v>
      </c>
      <c r="H762" t="n">
        <v>0.0107098101576285</v>
      </c>
      <c r="I762" t="n">
        <v>0.5810779804076228</v>
      </c>
      <c r="J762" t="n">
        <v>0.0606354373783056</v>
      </c>
      <c r="K762" t="n">
        <v>0.3316254755038924</v>
      </c>
      <c r="L762" t="b">
        <v>0</v>
      </c>
      <c r="M762" t="b">
        <v>0</v>
      </c>
      <c r="N762" t="inlineStr">
        <is>
          <t>ref</t>
        </is>
      </c>
      <c r="O762" t="n">
        <v>-100</v>
      </c>
      <c r="P762" t="n">
        <v>0.01631</v>
      </c>
      <c r="Q762" t="n">
        <v>100</v>
      </c>
      <c r="R762" t="n">
        <v>0.01776</v>
      </c>
      <c r="S762">
        <f>IMAGE("https://mitra.stanford.edu/kundaje/oak/projects/neuro-variants/variant_position/credible/roussos_2024/variant_figures/roussos_2024.childhood.GLU/rs11612157_count_position.png",4,220,900)</f>
        <v/>
      </c>
      <c r="T762">
        <f>IMAGE("https://mitra.stanford.edu/kundaje/oak/projects/neuro-variants/variant_position/credible/roussos_2024/variant_figures/roussos_2024.childhood.GLU/rs11612157_profile_position.png",4,220,900)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-0.094764663</v>
      </c>
      <c r="G763" t="n">
        <v>0.0822031192011427</v>
      </c>
      <c r="H763" t="n">
        <v>0.0262787177943492</v>
      </c>
      <c r="I763" t="n">
        <v>0.0395503929495394</v>
      </c>
      <c r="J763" t="n">
        <v>0.0007850247767005</v>
      </c>
      <c r="K763" t="n">
        <v>0.8411735539038776</v>
      </c>
      <c r="L763" t="b">
        <v>0</v>
      </c>
      <c r="M763" t="b">
        <v>0</v>
      </c>
      <c r="N763" t="inlineStr">
        <is>
          <t>ref</t>
        </is>
      </c>
      <c r="O763" t="n">
        <v>55</v>
      </c>
      <c r="P763" t="n">
        <v>0.004955</v>
      </c>
      <c r="Q763" t="n">
        <v>15</v>
      </c>
      <c r="R763" t="n">
        <v>0.02527</v>
      </c>
      <c r="S763">
        <f>IMAGE("https://mitra.stanford.edu/kundaje/oak/projects/neuro-variants/variant_position/credible/roussos_2024/variant_figures/roussos_2024.childhood.GLU/rs17468457_count_position.png",4,220,900)</f>
        <v/>
      </c>
      <c r="T763">
        <f>IMAGE("https://mitra.stanford.edu/kundaje/oak/projects/neuro-variants/variant_position/credible/roussos_2024/variant_figures/roussos_2024.childhood.GLU/rs17468457_profile_position.png",4,220,900)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0.0561157281999999</v>
      </c>
      <c r="G764" t="n">
        <v>0.1394049744717148</v>
      </c>
      <c r="H764" t="n">
        <v>0.0117836953520101</v>
      </c>
      <c r="I764" t="n">
        <v>0.4662851802458395</v>
      </c>
      <c r="J764" t="n">
        <v>0.1038045885831435</v>
      </c>
      <c r="K764" t="n">
        <v>0.2408228325642613</v>
      </c>
      <c r="L764" t="b">
        <v>0</v>
      </c>
      <c r="M764" t="b">
        <v>0</v>
      </c>
      <c r="N764" t="inlineStr">
        <is>
          <t>alt</t>
        </is>
      </c>
      <c r="O764" t="n">
        <v>-5</v>
      </c>
      <c r="P764" t="n">
        <v>0.0008809999999999999</v>
      </c>
      <c r="Q764" t="n">
        <v>50</v>
      </c>
      <c r="R764" t="n">
        <v>0.06419999999999999</v>
      </c>
      <c r="S764">
        <f>IMAGE("https://mitra.stanford.edu/kundaje/oak/projects/neuro-variants/variant_position/credible/roussos_2024/variant_figures/roussos_2024.childhood.GLU/rs17383970_count_position.png",4,220,900)</f>
        <v/>
      </c>
      <c r="T764">
        <f>IMAGE("https://mitra.stanford.edu/kundaje/oak/projects/neuro-variants/variant_position/credible/roussos_2024/variant_figures/roussos_2024.childhood.GLU/rs17383970_profile_position.png",4,220,900)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0.0282193248</v>
      </c>
      <c r="G765" t="n">
        <v>0.3404167399570993</v>
      </c>
      <c r="H765" t="n">
        <v>0.0233438619337745</v>
      </c>
      <c r="I765" t="n">
        <v>0.0556581975587157</v>
      </c>
      <c r="J765" t="n">
        <v>0.0227698393892877</v>
      </c>
      <c r="K765" t="n">
        <v>0.4679388826471444</v>
      </c>
      <c r="L765" t="b">
        <v>0</v>
      </c>
      <c r="M765" t="b">
        <v>0</v>
      </c>
      <c r="N765" t="inlineStr">
        <is>
          <t>alt</t>
        </is>
      </c>
      <c r="O765" t="n">
        <v>100</v>
      </c>
      <c r="P765" t="n">
        <v>0.05682</v>
      </c>
      <c r="Q765" t="n">
        <v>65</v>
      </c>
      <c r="R765" t="n">
        <v>0.06</v>
      </c>
      <c r="S765">
        <f>IMAGE("https://mitra.stanford.edu/kundaje/oak/projects/neuro-variants/variant_position/credible/roussos_2024/variant_figures/roussos_2024.childhood.GLU/rs73091330_count_position.png",4,220,900)</f>
        <v/>
      </c>
      <c r="T765">
        <f>IMAGE("https://mitra.stanford.edu/kundaje/oak/projects/neuro-variants/variant_position/credible/roussos_2024/variant_figures/roussos_2024.childhood.GLU/rs73091330_profile_position.png",4,220,900)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-0.009152219479999901</v>
      </c>
      <c r="G766" t="n">
        <v>0.6934732576415575</v>
      </c>
      <c r="H766" t="n">
        <v>0.0130652659420884</v>
      </c>
      <c r="I766" t="n">
        <v>0.3649518945459405</v>
      </c>
      <c r="J766" t="n">
        <v>0.0224123543531786</v>
      </c>
      <c r="K766" t="n">
        <v>0.473563312924014</v>
      </c>
      <c r="L766" t="b">
        <v>0</v>
      </c>
      <c r="M766" t="b">
        <v>0</v>
      </c>
      <c r="N766" t="inlineStr">
        <is>
          <t>ref</t>
        </is>
      </c>
      <c r="O766" t="n">
        <v>-10</v>
      </c>
      <c r="P766" t="n">
        <v>0.00235</v>
      </c>
      <c r="Q766" t="n">
        <v>-90</v>
      </c>
      <c r="R766" t="n">
        <v>0.1392</v>
      </c>
      <c r="S766">
        <f>IMAGE("https://mitra.stanford.edu/kundaje/oak/projects/neuro-variants/variant_position/credible/roussos_2024/variant_figures/roussos_2024.childhood.GLU/rs73091349_count_position.png",4,220,900)</f>
        <v/>
      </c>
      <c r="T766">
        <f>IMAGE("https://mitra.stanford.edu/kundaje/oak/projects/neuro-variants/variant_position/credible/roussos_2024/variant_figures/roussos_2024.childhood.GLU/rs73091349_profile_position.png",4,220,900)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-0.00455013687</v>
      </c>
      <c r="G767" t="n">
        <v>0.8376801029884096</v>
      </c>
      <c r="H767" t="n">
        <v>0.0230260918209831</v>
      </c>
      <c r="I767" t="n">
        <v>0.06297095905237619</v>
      </c>
      <c r="J767" t="n">
        <v>0.008671330112190401</v>
      </c>
      <c r="K767" t="n">
        <v>0.6011230334893418</v>
      </c>
      <c r="L767" t="b">
        <v>0</v>
      </c>
      <c r="M767" t="b">
        <v>0</v>
      </c>
      <c r="N767" t="inlineStr">
        <is>
          <t>ref</t>
        </is>
      </c>
      <c r="O767" t="n">
        <v>100</v>
      </c>
      <c r="P767" t="n">
        <v>0.01468</v>
      </c>
      <c r="Q767" t="n">
        <v>100</v>
      </c>
      <c r="R767" t="n">
        <v>0.0508</v>
      </c>
      <c r="S767">
        <f>IMAGE("https://mitra.stanford.edu/kundaje/oak/projects/neuro-variants/variant_position/credible/roussos_2024/variant_figures/roussos_2024.childhood.GLU/rs76571125_count_position.png",4,220,900)</f>
        <v/>
      </c>
      <c r="T767">
        <f>IMAGE("https://mitra.stanford.edu/kundaje/oak/projects/neuro-variants/variant_position/credible/roussos_2024/variant_figures/roussos_2024.childhood.GLU/rs76571125_profile_position.png",4,220,900)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0.01894821304</v>
      </c>
      <c r="G768" t="n">
        <v>0.4700779486189548</v>
      </c>
      <c r="H768" t="n">
        <v>0.0163880120522493</v>
      </c>
      <c r="I768" t="n">
        <v>0.1869197027827004</v>
      </c>
      <c r="J768" t="n">
        <v>0.0017122193948509</v>
      </c>
      <c r="K768" t="n">
        <v>0.7773723085107618</v>
      </c>
      <c r="L768" t="b">
        <v>0</v>
      </c>
      <c r="M768" t="b">
        <v>0</v>
      </c>
      <c r="N768" t="inlineStr">
        <is>
          <t>alt</t>
        </is>
      </c>
      <c r="O768" t="n">
        <v>-85</v>
      </c>
      <c r="P768" t="n">
        <v>0.00988</v>
      </c>
      <c r="Q768" t="n">
        <v>5</v>
      </c>
      <c r="R768" t="n">
        <v>0.0101</v>
      </c>
      <c r="S768">
        <f>IMAGE("https://mitra.stanford.edu/kundaje/oak/projects/neuro-variants/variant_position/credible/roussos_2024/variant_figures/roussos_2024.childhood.GLU/rs73091376_count_position.png",4,220,900)</f>
        <v/>
      </c>
      <c r="T768">
        <f>IMAGE("https://mitra.stanford.edu/kundaje/oak/projects/neuro-variants/variant_position/credible/roussos_2024/variant_figures/roussos_2024.childhood.GLU/rs73091376_profile_position.png",4,220,900)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-0.0086952998</v>
      </c>
      <c r="G769" t="n">
        <v>0.694184090531632</v>
      </c>
      <c r="H769" t="n">
        <v>0.0320643782115098</v>
      </c>
      <c r="I769" t="n">
        <v>0.0159365400972744</v>
      </c>
      <c r="J769" t="n">
        <v>0.001469088361647</v>
      </c>
      <c r="K769" t="n">
        <v>0.8082636570716386</v>
      </c>
      <c r="L769" t="b">
        <v>0</v>
      </c>
      <c r="M769" t="b">
        <v>0</v>
      </c>
      <c r="N769" t="inlineStr">
        <is>
          <t>ref</t>
        </is>
      </c>
      <c r="O769" t="n">
        <v>-95</v>
      </c>
      <c r="P769" t="n">
        <v>0.002403</v>
      </c>
      <c r="Q769" t="n">
        <v>-10</v>
      </c>
      <c r="R769" t="n">
        <v>0.011444</v>
      </c>
      <c r="S769">
        <f>IMAGE("https://mitra.stanford.edu/kundaje/oak/projects/neuro-variants/variant_position/credible/roussos_2024/variant_figures/roussos_2024.childhood.GLU/rs73073805_count_position.png",4,220,900)</f>
        <v/>
      </c>
      <c r="T769">
        <f>IMAGE("https://mitra.stanford.edu/kundaje/oak/projects/neuro-variants/variant_position/credible/roussos_2024/variant_figures/roussos_2024.childhood.GLU/rs73073805_profile_position.png",4,220,900)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-0.3684877</v>
      </c>
      <c r="G770" t="n">
        <v>0.0010672744771237</v>
      </c>
      <c r="H770" t="n">
        <v>0.0614870652093133</v>
      </c>
      <c r="I770" t="n">
        <v>0.0012700544214347</v>
      </c>
      <c r="J770" t="n">
        <v>0.2016071373381272</v>
      </c>
      <c r="K770" t="n">
        <v>0.1487447216348494</v>
      </c>
      <c r="L770" t="b">
        <v>1</v>
      </c>
      <c r="M770" t="b">
        <v>1</v>
      </c>
      <c r="N770" t="inlineStr">
        <is>
          <t>ref</t>
        </is>
      </c>
      <c r="O770" t="n">
        <v>20</v>
      </c>
      <c r="P770" t="n">
        <v>0.004623</v>
      </c>
      <c r="Q770" t="n">
        <v>-95</v>
      </c>
      <c r="R770" t="n">
        <v>0.0735</v>
      </c>
      <c r="S770">
        <f>IMAGE("https://mitra.stanford.edu/kundaje/oak/projects/neuro-variants/variant_position/credible/roussos_2024/variant_figures/roussos_2024.childhood.GLU/rs10843507_count_position.png",4,220,900)</f>
        <v/>
      </c>
      <c r="T770">
        <f>IMAGE("https://mitra.stanford.edu/kundaje/oak/projects/neuro-variants/variant_position/credible/roussos_2024/variant_figures/roussos_2024.childhood.GLU/rs10843507_profile_position.png",4,220,900)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0.1212798859999999</v>
      </c>
      <c r="G771" t="n">
        <v>0.0286464503337081</v>
      </c>
      <c r="H771" t="n">
        <v>0.0227382693259436</v>
      </c>
      <c r="I771" t="n">
        <v>0.06741296591516539</v>
      </c>
      <c r="J771" t="n">
        <v>0.328396880505218</v>
      </c>
      <c r="K771" t="n">
        <v>0.08686224413343389</v>
      </c>
      <c r="L771" t="b">
        <v>0</v>
      </c>
      <c r="M771" t="b">
        <v>0</v>
      </c>
      <c r="N771" t="inlineStr">
        <is>
          <t>alt</t>
        </is>
      </c>
      <c r="O771" t="n">
        <v>90</v>
      </c>
      <c r="P771" t="n">
        <v>0.01084</v>
      </c>
      <c r="Q771" t="n">
        <v>45</v>
      </c>
      <c r="R771" t="n">
        <v>0.06433</v>
      </c>
      <c r="S771">
        <f>IMAGE("https://mitra.stanford.edu/kundaje/oak/projects/neuro-variants/variant_position/credible/roussos_2024/variant_figures/roussos_2024.childhood.GLU/rs7316162_count_position.png",4,220,900)</f>
        <v/>
      </c>
      <c r="T771">
        <f>IMAGE("https://mitra.stanford.edu/kundaje/oak/projects/neuro-variants/variant_position/credible/roussos_2024/variant_figures/roussos_2024.childhood.GLU/rs7316162_profile_position.png",4,220,900)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0.009476743299999899</v>
      </c>
      <c r="G772" t="n">
        <v>0.5563817240121423</v>
      </c>
      <c r="H772" t="n">
        <v>0.008748180872943</v>
      </c>
      <c r="I772" t="n">
        <v>0.7943626073297249</v>
      </c>
      <c r="J772" t="n">
        <v>0.4788620231386568</v>
      </c>
      <c r="K772" t="n">
        <v>0.0465188194957726</v>
      </c>
      <c r="L772" t="b">
        <v>0</v>
      </c>
      <c r="M772" t="b">
        <v>0</v>
      </c>
      <c r="N772" t="inlineStr">
        <is>
          <t>alt</t>
        </is>
      </c>
      <c r="O772" t="n">
        <v>-10</v>
      </c>
      <c r="P772" t="n">
        <v>0.000538</v>
      </c>
      <c r="Q772" t="n">
        <v>5</v>
      </c>
      <c r="R772" t="n">
        <v>0.0004883</v>
      </c>
      <c r="S772">
        <f>IMAGE("https://mitra.stanford.edu/kundaje/oak/projects/neuro-variants/variant_position/credible/roussos_2024/variant_figures/roussos_2024.childhood.GLU/rs302350_count_position.png",4,220,900)</f>
        <v/>
      </c>
      <c r="T772">
        <f>IMAGE("https://mitra.stanford.edu/kundaje/oak/projects/neuro-variants/variant_position/credible/roussos_2024/variant_figures/roussos_2024.childhood.GLU/rs302350_profile_position.png",4,220,900)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0.0040164007</v>
      </c>
      <c r="G773" t="n">
        <v>0.7604849433426571</v>
      </c>
      <c r="H773" t="n">
        <v>0.0307979740816417</v>
      </c>
      <c r="I773" t="n">
        <v>0.019179867811728</v>
      </c>
      <c r="J773" t="n">
        <v>0.0330833341918468</v>
      </c>
      <c r="K773" t="n">
        <v>0.4102784428317068</v>
      </c>
      <c r="L773" t="b">
        <v>1</v>
      </c>
      <c r="M773" t="b">
        <v>0</v>
      </c>
      <c r="N773" t="inlineStr">
        <is>
          <t>alt</t>
        </is>
      </c>
      <c r="O773" t="n">
        <v>-40</v>
      </c>
      <c r="P773" t="n">
        <v>0.003815</v>
      </c>
      <c r="Q773" t="n">
        <v>-35</v>
      </c>
      <c r="R773" t="n">
        <v>0.06759999999999999</v>
      </c>
      <c r="S773">
        <f>IMAGE("https://mitra.stanford.edu/kundaje/oak/projects/neuro-variants/variant_position/credible/roussos_2024/variant_figures/roussos_2024.childhood.GLU/rs369003_count_position.png",4,220,900)</f>
        <v/>
      </c>
      <c r="T773">
        <f>IMAGE("https://mitra.stanford.edu/kundaje/oak/projects/neuro-variants/variant_position/credible/roussos_2024/variant_figures/roussos_2024.childhood.GLU/rs369003_profile_position.png",4,220,900)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-0.0372948259999999</v>
      </c>
      <c r="G774" t="n">
        <v>0.2655529692818139</v>
      </c>
      <c r="H774" t="n">
        <v>0.0105657254268838</v>
      </c>
      <c r="I774" t="n">
        <v>0.5960074608868434</v>
      </c>
      <c r="J774" t="n">
        <v>0.2013485530612874</v>
      </c>
      <c r="K774" t="n">
        <v>0.1486250949463303</v>
      </c>
      <c r="L774" t="b">
        <v>0</v>
      </c>
      <c r="M774" t="b">
        <v>0</v>
      </c>
      <c r="N774" t="inlineStr">
        <is>
          <t>ref</t>
        </is>
      </c>
      <c r="O774" t="n">
        <v>-55</v>
      </c>
      <c r="P774" t="n">
        <v>0.003603</v>
      </c>
      <c r="Q774" t="n">
        <v>-40</v>
      </c>
      <c r="R774" t="n">
        <v>0.01636</v>
      </c>
      <c r="S774">
        <f>IMAGE("https://mitra.stanford.edu/kundaje/oak/projects/neuro-variants/variant_position/credible/roussos_2024/variant_figures/roussos_2024.childhood.GLU/rs625430_count_position.png",4,220,900)</f>
        <v/>
      </c>
      <c r="T774">
        <f>IMAGE("https://mitra.stanford.edu/kundaje/oak/projects/neuro-variants/variant_position/credible/roussos_2024/variant_figures/roussos_2024.childhood.GLU/rs625430_profile_position.png",4,220,900)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0.0335985686</v>
      </c>
      <c r="G775" t="n">
        <v>0.2926892255447617</v>
      </c>
      <c r="H775" t="n">
        <v>0.0101479615310986</v>
      </c>
      <c r="I775" t="n">
        <v>0.6200862656358567</v>
      </c>
      <c r="J775" t="n">
        <v>0.0331235126253</v>
      </c>
      <c r="K775" t="n">
        <v>0.418170534018163</v>
      </c>
      <c r="L775" t="b">
        <v>0</v>
      </c>
      <c r="M775" t="b">
        <v>0</v>
      </c>
      <c r="N775" t="inlineStr">
        <is>
          <t>alt</t>
        </is>
      </c>
      <c r="O775" t="n">
        <v>-30</v>
      </c>
      <c r="P775" t="n">
        <v>0.001904</v>
      </c>
      <c r="Q775" t="n">
        <v>-30</v>
      </c>
      <c r="R775" t="n">
        <v>0.07837</v>
      </c>
      <c r="S775">
        <f>IMAGE("https://mitra.stanford.edu/kundaje/oak/projects/neuro-variants/variant_position/credible/roussos_2024/variant_figures/roussos_2024.childhood.GLU/rs58304678_count_position.png",4,220,900)</f>
        <v/>
      </c>
      <c r="T775">
        <f>IMAGE("https://mitra.stanford.edu/kundaje/oak/projects/neuro-variants/variant_position/credible/roussos_2024/variant_figures/roussos_2024.childhood.GLU/rs58304678_profile_position.png",4,220,900)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0.0298787066</v>
      </c>
      <c r="G776" t="n">
        <v>0.3200711244450558</v>
      </c>
      <c r="H776" t="n">
        <v>0.0164610890812894</v>
      </c>
      <c r="I776" t="n">
        <v>0.1868872428525251</v>
      </c>
      <c r="J776" t="n">
        <v>0.0372649819197049</v>
      </c>
      <c r="K776" t="n">
        <v>0.3958100325552747</v>
      </c>
      <c r="L776" t="b">
        <v>0</v>
      </c>
      <c r="M776" t="b">
        <v>0</v>
      </c>
      <c r="N776" t="inlineStr">
        <is>
          <t>alt</t>
        </is>
      </c>
      <c r="O776" t="n">
        <v>95</v>
      </c>
      <c r="P776" t="n">
        <v>0.00441</v>
      </c>
      <c r="Q776" t="n">
        <v>-50</v>
      </c>
      <c r="R776" t="n">
        <v>0.1239</v>
      </c>
      <c r="S776">
        <f>IMAGE("https://mitra.stanford.edu/kundaje/oak/projects/neuro-variants/variant_position/credible/roussos_2024/variant_figures/roussos_2024.childhood.GLU/rs10431276_count_position.png",4,220,900)</f>
        <v/>
      </c>
      <c r="T776">
        <f>IMAGE("https://mitra.stanford.edu/kundaje/oak/projects/neuro-variants/variant_position/credible/roussos_2024/variant_figures/roussos_2024.childhood.GLU/rs10431276_profile_position.png",4,220,900)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0.004953607</v>
      </c>
      <c r="G777" t="n">
        <v>0.6290540329873922</v>
      </c>
      <c r="H777" t="n">
        <v>0.0081933869884128</v>
      </c>
      <c r="I777" t="n">
        <v>0.855736793037851</v>
      </c>
      <c r="J777" t="n">
        <v>0.0117784622992365</v>
      </c>
      <c r="K777" t="n">
        <v>0.5677905379398402</v>
      </c>
      <c r="L777" t="b">
        <v>0</v>
      </c>
      <c r="M777" t="b">
        <v>0</v>
      </c>
      <c r="N777" t="inlineStr">
        <is>
          <t>alt</t>
        </is>
      </c>
      <c r="O777" t="n">
        <v>-100</v>
      </c>
      <c r="P777" t="n">
        <v>0.005802</v>
      </c>
      <c r="Q777" t="n">
        <v>45</v>
      </c>
      <c r="R777" t="n">
        <v>0.05017</v>
      </c>
      <c r="S777">
        <f>IMAGE("https://mitra.stanford.edu/kundaje/oak/projects/neuro-variants/variant_position/credible/roussos_2024/variant_figures/roussos_2024.childhood.GLU/rs12229602_count_position.png",4,220,900)</f>
        <v/>
      </c>
      <c r="T777">
        <f>IMAGE("https://mitra.stanford.edu/kundaje/oak/projects/neuro-variants/variant_position/credible/roussos_2024/variant_figures/roussos_2024.childhood.GLU/rs12229602_profile_position.png",4,220,900)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0.259369956</v>
      </c>
      <c r="G778" t="n">
        <v>0.0032897584248547</v>
      </c>
      <c r="H778" t="n">
        <v>0.0565047587429495</v>
      </c>
      <c r="I778" t="n">
        <v>0.0017477408915765</v>
      </c>
      <c r="J778" t="n">
        <v>0.4189261025889333</v>
      </c>
      <c r="K778" t="n">
        <v>0.0597210384459923</v>
      </c>
      <c r="L778" t="b">
        <v>1</v>
      </c>
      <c r="M778" t="b">
        <v>1</v>
      </c>
      <c r="N778" t="inlineStr">
        <is>
          <t>alt</t>
        </is>
      </c>
      <c r="O778" t="n">
        <v>-15</v>
      </c>
      <c r="P778" t="n">
        <v>0.001343</v>
      </c>
      <c r="Q778" t="n">
        <v>55</v>
      </c>
      <c r="R778" t="n">
        <v>0.09326</v>
      </c>
      <c r="S778">
        <f>IMAGE("https://mitra.stanford.edu/kundaje/oak/projects/neuro-variants/variant_position/credible/roussos_2024/variant_figures/roussos_2024.childhood.GLU/rs10843539_count_position.png",4,220,900)</f>
        <v/>
      </c>
      <c r="T778">
        <f>IMAGE("https://mitra.stanford.edu/kundaje/oak/projects/neuro-variants/variant_position/credible/roussos_2024/variant_figures/roussos_2024.childhood.GLU/rs10843539_profile_position.png",4,220,900)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0.04275943996</v>
      </c>
      <c r="G779" t="n">
        <v>0.2317479334147121</v>
      </c>
      <c r="H779" t="n">
        <v>0.0289664583880166</v>
      </c>
      <c r="I779" t="n">
        <v>0.0257378412256277</v>
      </c>
      <c r="J779" t="n">
        <v>0.0069343855275221</v>
      </c>
      <c r="K779" t="n">
        <v>0.6317219731626678</v>
      </c>
      <c r="L779" t="b">
        <v>0</v>
      </c>
      <c r="M779" t="b">
        <v>0</v>
      </c>
      <c r="N779" t="inlineStr">
        <is>
          <t>alt</t>
        </is>
      </c>
      <c r="O779" t="n">
        <v>85</v>
      </c>
      <c r="P779" t="n">
        <v>0.003784</v>
      </c>
      <c r="Q779" t="n">
        <v>-50</v>
      </c>
      <c r="R779" t="n">
        <v>0.0172</v>
      </c>
      <c r="S779">
        <f>IMAGE("https://mitra.stanford.edu/kundaje/oak/projects/neuro-variants/variant_position/credible/roussos_2024/variant_figures/roussos_2024.childhood.GLU/rs2351015_count_position.png",4,220,900)</f>
        <v/>
      </c>
      <c r="T779">
        <f>IMAGE("https://mitra.stanford.edu/kundaje/oak/projects/neuro-variants/variant_position/credible/roussos_2024/variant_figures/roussos_2024.childhood.GLU/rs2351015_profile_position.png",4,220,900)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-0.00067648528</v>
      </c>
      <c r="G780" t="n">
        <v>0.8125188606730788</v>
      </c>
      <c r="H780" t="n">
        <v>0.0212141200656282</v>
      </c>
      <c r="I780" t="n">
        <v>0.0789011299062119</v>
      </c>
      <c r="J780" t="n">
        <v>0.0335325084735285</v>
      </c>
      <c r="K780" t="n">
        <v>0.4117010008050595</v>
      </c>
      <c r="L780" t="b">
        <v>0</v>
      </c>
      <c r="M780" t="b">
        <v>0</v>
      </c>
      <c r="N780" t="inlineStr">
        <is>
          <t>ref</t>
        </is>
      </c>
      <c r="O780" t="n">
        <v>15</v>
      </c>
      <c r="P780" t="n">
        <v>0.00472</v>
      </c>
      <c r="Q780" t="n">
        <v>-40</v>
      </c>
      <c r="R780" t="n">
        <v>0.0119</v>
      </c>
      <c r="S780">
        <f>IMAGE("https://mitra.stanford.edu/kundaje/oak/projects/neuro-variants/variant_position/credible/roussos_2024/variant_figures/roussos_2024.childhood.GLU/rs4622345_count_position.png",4,220,900)</f>
        <v/>
      </c>
      <c r="T780">
        <f>IMAGE("https://mitra.stanford.edu/kundaje/oak/projects/neuro-variants/variant_position/credible/roussos_2024/variant_figures/roussos_2024.childhood.GLU/rs4622345_profile_position.png",4,220,900)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-0.008276919460000001</v>
      </c>
      <c r="G781" t="n">
        <v>0.7243992384567011</v>
      </c>
      <c r="H781" t="n">
        <v>0.0152809337561224</v>
      </c>
      <c r="I781" t="n">
        <v>0.2362053215251047</v>
      </c>
      <c r="J781" t="n">
        <v>0.0041126232396179</v>
      </c>
      <c r="K781" t="n">
        <v>0.7122866206798464</v>
      </c>
      <c r="L781" t="b">
        <v>0</v>
      </c>
      <c r="M781" t="b">
        <v>0</v>
      </c>
      <c r="N781" t="inlineStr">
        <is>
          <t>ref</t>
        </is>
      </c>
      <c r="O781" t="n">
        <v>100</v>
      </c>
      <c r="P781" t="n">
        <v>0.003242</v>
      </c>
      <c r="Q781" t="n">
        <v>100</v>
      </c>
      <c r="R781" t="n">
        <v>0.06073</v>
      </c>
      <c r="S781">
        <f>IMAGE("https://mitra.stanford.edu/kundaje/oak/projects/neuro-variants/variant_position/credible/roussos_2024/variant_figures/roussos_2024.childhood.GLU/rs7970635_count_position.png",4,220,900)</f>
        <v/>
      </c>
      <c r="T781">
        <f>IMAGE("https://mitra.stanford.edu/kundaje/oak/projects/neuro-variants/variant_position/credible/roussos_2024/variant_figures/roussos_2024.childhood.GLU/rs7970635_profile_position.png",4,220,900)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-0.0583663524</v>
      </c>
      <c r="G782" t="n">
        <v>0.1350552736112013</v>
      </c>
      <c r="H782" t="n">
        <v>0.0109212777751117</v>
      </c>
      <c r="I782" t="n">
        <v>0.5535631681731028</v>
      </c>
      <c r="J782" t="n">
        <v>0.0455561622384537</v>
      </c>
      <c r="K782" t="n">
        <v>0.3730454247533621</v>
      </c>
      <c r="L782" t="b">
        <v>0</v>
      </c>
      <c r="M782" t="b">
        <v>0</v>
      </c>
      <c r="N782" t="inlineStr">
        <is>
          <t>ref</t>
        </is>
      </c>
      <c r="O782" t="n">
        <v>-75</v>
      </c>
      <c r="P782" t="n">
        <v>0.00394</v>
      </c>
      <c r="Q782" t="n">
        <v>-95</v>
      </c>
      <c r="R782" t="n">
        <v>0.08119999999999999</v>
      </c>
      <c r="S782">
        <f>IMAGE("https://mitra.stanford.edu/kundaje/oak/projects/neuro-variants/variant_position/credible/roussos_2024/variant_figures/roussos_2024.childhood.GLU/rs114974785_count_position.png",4,220,900)</f>
        <v/>
      </c>
      <c r="T782">
        <f>IMAGE("https://mitra.stanford.edu/kundaje/oak/projects/neuro-variants/variant_position/credible/roussos_2024/variant_figures/roussos_2024.childhood.GLU/rs114974785_profile_position.png",4,220,900)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-0.0349700391</v>
      </c>
      <c r="G783" t="n">
        <v>0.2895844287764545</v>
      </c>
      <c r="H783" t="n">
        <v>0.0161046480176317</v>
      </c>
      <c r="I783" t="n">
        <v>0.2037640946193198</v>
      </c>
      <c r="J783" t="n">
        <v>0.5695612309023664</v>
      </c>
      <c r="K783" t="n">
        <v>0.030759950066847</v>
      </c>
      <c r="L783" t="b">
        <v>0</v>
      </c>
      <c r="M783" t="b">
        <v>0</v>
      </c>
      <c r="N783" t="inlineStr">
        <is>
          <t>ref</t>
        </is>
      </c>
      <c r="O783" t="n">
        <v>-15</v>
      </c>
      <c r="P783" t="n">
        <v>0.00293</v>
      </c>
      <c r="Q783" t="n">
        <v>-100</v>
      </c>
      <c r="R783" t="n">
        <v>0.006836</v>
      </c>
      <c r="S783">
        <f>IMAGE("https://mitra.stanford.edu/kundaje/oak/projects/neuro-variants/variant_position/credible/roussos_2024/variant_figures/roussos_2024.childhood.GLU/rs706790_count_position.png",4,220,900)</f>
        <v/>
      </c>
      <c r="T783">
        <f>IMAGE("https://mitra.stanford.edu/kundaje/oak/projects/neuro-variants/variant_position/credible/roussos_2024/variant_figures/roussos_2024.childhood.GLU/rs706790_profile_position.png",4,220,900)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0.054398437</v>
      </c>
      <c r="G784" t="n">
        <v>0.1564549171605985</v>
      </c>
      <c r="H784" t="n">
        <v>0.0115860313257665</v>
      </c>
      <c r="I784" t="n">
        <v>0.4934333379860072</v>
      </c>
      <c r="J784" t="n">
        <v>0.5810605045999155</v>
      </c>
      <c r="K784" t="n">
        <v>0.0295069103877651</v>
      </c>
      <c r="L784" t="b">
        <v>0</v>
      </c>
      <c r="M784" t="b">
        <v>0</v>
      </c>
      <c r="N784" t="inlineStr">
        <is>
          <t>alt</t>
        </is>
      </c>
      <c r="O784" t="n">
        <v>15</v>
      </c>
      <c r="P784" t="n">
        <v>0.001846</v>
      </c>
      <c r="Q784" t="n">
        <v>15</v>
      </c>
      <c r="R784" t="n">
        <v>0.012695</v>
      </c>
      <c r="S784">
        <f>IMAGE("https://mitra.stanford.edu/kundaje/oak/projects/neuro-variants/variant_position/credible/roussos_2024/variant_figures/roussos_2024.childhood.GLU/rs7315690_count_position.png",4,220,900)</f>
        <v/>
      </c>
      <c r="T784">
        <f>IMAGE("https://mitra.stanford.edu/kundaje/oak/projects/neuro-variants/variant_position/credible/roussos_2024/variant_figures/roussos_2024.childhood.GLU/rs7315690_profile_position.png",4,220,900)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0.0108258071999999</v>
      </c>
      <c r="G785" t="n">
        <v>0.2962645405827549</v>
      </c>
      <c r="H785" t="n">
        <v>0.0160017561597567</v>
      </c>
      <c r="I785" t="n">
        <v>0.2019197020965979</v>
      </c>
      <c r="J785" t="n">
        <v>0.0142901294981816</v>
      </c>
      <c r="K785" t="n">
        <v>0.5414656870068792</v>
      </c>
      <c r="L785" t="b">
        <v>0</v>
      </c>
      <c r="M785" t="b">
        <v>0</v>
      </c>
      <c r="N785" t="inlineStr">
        <is>
          <t>alt</t>
        </is>
      </c>
      <c r="O785" t="n">
        <v>-100</v>
      </c>
      <c r="P785" t="n">
        <v>0.01042</v>
      </c>
      <c r="Q785" t="n">
        <v>55</v>
      </c>
      <c r="R785" t="n">
        <v>0.102</v>
      </c>
      <c r="S785">
        <f>IMAGE("https://mitra.stanford.edu/kundaje/oak/projects/neuro-variants/variant_position/credible/roussos_2024/variant_figures/roussos_2024.childhood.GLU/rs7138420_count_position.png",4,220,900)</f>
        <v/>
      </c>
      <c r="T785">
        <f>IMAGE("https://mitra.stanford.edu/kundaje/oak/projects/neuro-variants/variant_position/credible/roussos_2024/variant_figures/roussos_2024.childhood.GLU/rs7138420_profile_position.png",4,220,900)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0.0302960473999999</v>
      </c>
      <c r="G786" t="n">
        <v>0.3304391081095982</v>
      </c>
      <c r="H786" t="n">
        <v>0.0101381424759541</v>
      </c>
      <c r="I786" t="n">
        <v>0.6305462195432535</v>
      </c>
      <c r="J786" t="n">
        <v>0.0655619314494111</v>
      </c>
      <c r="K786" t="n">
        <v>0.3109374208262759</v>
      </c>
      <c r="L786" t="b">
        <v>0</v>
      </c>
      <c r="M786" t="b">
        <v>0</v>
      </c>
      <c r="N786" t="inlineStr">
        <is>
          <t>alt</t>
        </is>
      </c>
      <c r="O786" t="n">
        <v>-70</v>
      </c>
      <c r="P786" t="n">
        <v>0.01889</v>
      </c>
      <c r="Q786" t="n">
        <v>-80</v>
      </c>
      <c r="R786" t="n">
        <v>0.1693</v>
      </c>
      <c r="S786">
        <f>IMAGE("https://mitra.stanford.edu/kundaje/oak/projects/neuro-variants/variant_position/credible/roussos_2024/variant_figures/roussos_2024.childhood.GLU/rs12425229_count_position.png",4,220,900)</f>
        <v/>
      </c>
      <c r="T786">
        <f>IMAGE("https://mitra.stanford.edu/kundaje/oak/projects/neuro-variants/variant_position/credible/roussos_2024/variant_figures/roussos_2024.childhood.GLU/rs12425229_profile_position.png",4,220,900)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0.3825203499999999</v>
      </c>
      <c r="G787" t="n">
        <v>0.001118524537702</v>
      </c>
      <c r="H787" t="n">
        <v>0.0556999247396546</v>
      </c>
      <c r="I787" t="n">
        <v>0.0024654486023667</v>
      </c>
      <c r="J787" t="n">
        <v>0.2328288707799766</v>
      </c>
      <c r="K787" t="n">
        <v>0.1281809782355931</v>
      </c>
      <c r="L787" t="b">
        <v>1</v>
      </c>
      <c r="M787" t="b">
        <v>1</v>
      </c>
      <c r="N787" t="inlineStr">
        <is>
          <t>alt</t>
        </is>
      </c>
      <c r="O787" t="n">
        <v>20</v>
      </c>
      <c r="P787" t="n">
        <v>0.0006713999999999999</v>
      </c>
      <c r="Q787" t="n">
        <v>-85</v>
      </c>
      <c r="R787" t="n">
        <v>0.07227</v>
      </c>
      <c r="S787">
        <f>IMAGE("https://mitra.stanford.edu/kundaje/oak/projects/neuro-variants/variant_position/credible/roussos_2024/variant_figures/roussos_2024.childhood.GLU/rs10783344_count_position.png",4,220,900)</f>
        <v/>
      </c>
      <c r="T787">
        <f>IMAGE("https://mitra.stanford.edu/kundaje/oak/projects/neuro-variants/variant_position/credible/roussos_2024/variant_figures/roussos_2024.childhood.GLU/rs10783344_profile_position.png",4,220,900)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0.1711141032</v>
      </c>
      <c r="G788" t="n">
        <v>0.0140212789491744</v>
      </c>
      <c r="H788" t="n">
        <v>0.0284533488496184</v>
      </c>
      <c r="I788" t="n">
        <v>0.0375326617301721</v>
      </c>
      <c r="J788" t="n">
        <v>0.0230531488559448</v>
      </c>
      <c r="K788" t="n">
        <v>0.4770551661520687</v>
      </c>
      <c r="L788" t="b">
        <v>1</v>
      </c>
      <c r="M788" t="b">
        <v>0</v>
      </c>
      <c r="N788" t="inlineStr">
        <is>
          <t>alt</t>
        </is>
      </c>
      <c r="O788" t="n">
        <v>65</v>
      </c>
      <c r="P788" t="n">
        <v>0.00583</v>
      </c>
      <c r="Q788" t="n">
        <v>-90</v>
      </c>
      <c r="R788" t="n">
        <v>0.1107</v>
      </c>
      <c r="S788">
        <f>IMAGE("https://mitra.stanford.edu/kundaje/oak/projects/neuro-variants/variant_position/credible/roussos_2024/variant_figures/roussos_2024.childhood.GLU/rs1972611_count_position.png",4,220,900)</f>
        <v/>
      </c>
      <c r="T788">
        <f>IMAGE("https://mitra.stanford.edu/kundaje/oak/projects/neuro-variants/variant_position/credible/roussos_2024/variant_figures/roussos_2024.childhood.GLU/rs1972611_profile_position.png",4,220,900)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-0.133235276</v>
      </c>
      <c r="G789" t="n">
        <v>0.0237775491739311</v>
      </c>
      <c r="H789" t="n">
        <v>0.0155254286052213</v>
      </c>
      <c r="I789" t="n">
        <v>0.2213325111251683</v>
      </c>
      <c r="J789" t="n">
        <v>0.0203426499222186</v>
      </c>
      <c r="K789" t="n">
        <v>0.4869552737892251</v>
      </c>
      <c r="L789" t="b">
        <v>0</v>
      </c>
      <c r="M789" t="b">
        <v>0</v>
      </c>
      <c r="N789" t="inlineStr">
        <is>
          <t>ref</t>
        </is>
      </c>
      <c r="O789" t="n">
        <v>-45</v>
      </c>
      <c r="P789" t="n">
        <v>0.01184</v>
      </c>
      <c r="Q789" t="n">
        <v>60</v>
      </c>
      <c r="R789" t="n">
        <v>0.07630000000000001</v>
      </c>
      <c r="S789">
        <f>IMAGE("https://mitra.stanford.edu/kundaje/oak/projects/neuro-variants/variant_position/credible/roussos_2024/variant_figures/roussos_2024.childhood.GLU/rs67138019_count_position.png",4,220,900)</f>
        <v/>
      </c>
      <c r="T789">
        <f>IMAGE("https://mitra.stanford.edu/kundaje/oak/projects/neuro-variants/variant_position/credible/roussos_2024/variant_figures/roussos_2024.childhood.GLU/rs67138019_profile_position.png",4,220,900)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-0.1391136499999999</v>
      </c>
      <c r="G790" t="n">
        <v>0.0234640064707688</v>
      </c>
      <c r="H790" t="n">
        <v>0.0191381001844974</v>
      </c>
      <c r="I790" t="n">
        <v>0.1190417960801531</v>
      </c>
      <c r="J790" t="n">
        <v>0.2978231530798314</v>
      </c>
      <c r="K790" t="n">
        <v>0.0996252374700391</v>
      </c>
      <c r="L790" t="b">
        <v>0</v>
      </c>
      <c r="M790" t="b">
        <v>0</v>
      </c>
      <c r="N790" t="inlineStr">
        <is>
          <t>ref</t>
        </is>
      </c>
      <c r="O790" t="n">
        <v>-65</v>
      </c>
      <c r="P790" t="n">
        <v>0.02634</v>
      </c>
      <c r="Q790" t="n">
        <v>-40</v>
      </c>
      <c r="R790" t="n">
        <v>0.08057</v>
      </c>
      <c r="S790">
        <f>IMAGE("https://mitra.stanford.edu/kundaje/oak/projects/neuro-variants/variant_position/credible/roussos_2024/variant_figures/roussos_2024.childhood.GLU/rs12832940_count_position.png",4,220,900)</f>
        <v/>
      </c>
      <c r="T790">
        <f>IMAGE("https://mitra.stanford.edu/kundaje/oak/projects/neuro-variants/variant_position/credible/roussos_2024/variant_figures/roussos_2024.childhood.GLU/rs12832940_profile_position.png",4,220,900)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0.00252121328</v>
      </c>
      <c r="G791" t="n">
        <v>0.7401448788739576</v>
      </c>
      <c r="H791" t="n">
        <v>0.0241266656162074</v>
      </c>
      <c r="I791" t="n">
        <v>0.0493674592377404</v>
      </c>
      <c r="J791" t="n">
        <v>0.0001710158962365</v>
      </c>
      <c r="K791" t="n">
        <v>0.91786677295546</v>
      </c>
      <c r="L791" t="b">
        <v>0</v>
      </c>
      <c r="M791" t="b">
        <v>0</v>
      </c>
      <c r="N791" t="inlineStr">
        <is>
          <t>alt</t>
        </is>
      </c>
      <c r="O791" t="n">
        <v>100</v>
      </c>
      <c r="P791" t="n">
        <v>0.00415</v>
      </c>
      <c r="Q791" t="n">
        <v>100</v>
      </c>
      <c r="R791" t="n">
        <v>0.1729</v>
      </c>
      <c r="S791">
        <f>IMAGE("https://mitra.stanford.edu/kundaje/oak/projects/neuro-variants/variant_position/credible/roussos_2024/variant_figures/roussos_2024.childhood.GLU/rs7311973_count_position.png",4,220,900)</f>
        <v/>
      </c>
      <c r="T791">
        <f>IMAGE("https://mitra.stanford.edu/kundaje/oak/projects/neuro-variants/variant_position/credible/roussos_2024/variant_figures/roussos_2024.childhood.GLU/rs7311973_profile_position.png",4,220,900)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0.0068019338</v>
      </c>
      <c r="G792" t="n">
        <v>0.7256102789649626</v>
      </c>
      <c r="H792" t="n">
        <v>0.0354025572115174</v>
      </c>
      <c r="I792" t="n">
        <v>0.0109411579024399</v>
      </c>
      <c r="J792" t="n">
        <v>0.008978334552422499</v>
      </c>
      <c r="K792" t="n">
        <v>0.6064518166373053</v>
      </c>
      <c r="L792" t="b">
        <v>0</v>
      </c>
      <c r="M792" t="b">
        <v>0</v>
      </c>
      <c r="N792" t="inlineStr">
        <is>
          <t>alt</t>
        </is>
      </c>
      <c r="O792" t="n">
        <v>-65</v>
      </c>
      <c r="P792" t="n">
        <v>0.00757</v>
      </c>
      <c r="Q792" t="n">
        <v>-65</v>
      </c>
      <c r="R792" t="n">
        <v>0.0649</v>
      </c>
      <c r="S792">
        <f>IMAGE("https://mitra.stanford.edu/kundaje/oak/projects/neuro-variants/variant_position/credible/roussos_2024/variant_figures/roussos_2024.childhood.GLU/rs11169393_count_position.png",4,220,900)</f>
        <v/>
      </c>
      <c r="T792">
        <f>IMAGE("https://mitra.stanford.edu/kundaje/oak/projects/neuro-variants/variant_position/credible/roussos_2024/variant_figures/roussos_2024.childhood.GLU/rs11169393_profile_position.png",4,220,900)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-0.00290146681</v>
      </c>
      <c r="G793" t="n">
        <v>0.8870167388900366</v>
      </c>
      <c r="H793" t="n">
        <v>0.0252844417263079</v>
      </c>
      <c r="I793" t="n">
        <v>0.041175165118277</v>
      </c>
      <c r="J793" t="n">
        <v>0.0046988162815374</v>
      </c>
      <c r="K793" t="n">
        <v>0.6845243211683841</v>
      </c>
      <c r="L793" t="b">
        <v>0</v>
      </c>
      <c r="M793" t="b">
        <v>0</v>
      </c>
      <c r="N793" t="inlineStr">
        <is>
          <t>ref</t>
        </is>
      </c>
      <c r="O793" t="n">
        <v>-100</v>
      </c>
      <c r="P793" t="n">
        <v>0.01276</v>
      </c>
      <c r="Q793" t="n">
        <v>-60</v>
      </c>
      <c r="R793" t="n">
        <v>0.05554</v>
      </c>
      <c r="S793">
        <f>IMAGE("https://mitra.stanford.edu/kundaje/oak/projects/neuro-variants/variant_position/credible/roussos_2024/variant_figures/roussos_2024.childhood.GLU/rs12578525_count_position.png",4,220,900)</f>
        <v/>
      </c>
      <c r="T793">
        <f>IMAGE("https://mitra.stanford.edu/kundaje/oak/projects/neuro-variants/variant_position/credible/roussos_2024/variant_figures/roussos_2024.childhood.GLU/rs12578525_profile_position.png",4,220,900)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-0.002897954998</v>
      </c>
      <c r="G794" t="n">
        <v>0.8684444087794537</v>
      </c>
      <c r="H794" t="n">
        <v>0.0306038336691468</v>
      </c>
      <c r="I794" t="n">
        <v>0.0197535499635262</v>
      </c>
      <c r="J794" t="n">
        <v>0.0254854894042259</v>
      </c>
      <c r="K794" t="n">
        <v>0.4599898565445365</v>
      </c>
      <c r="L794" t="b">
        <v>1</v>
      </c>
      <c r="M794" t="b">
        <v>0</v>
      </c>
      <c r="N794" t="inlineStr">
        <is>
          <t>ref</t>
        </is>
      </c>
      <c r="O794" t="n">
        <v>-5</v>
      </c>
      <c r="P794" t="n">
        <v>0.0001678</v>
      </c>
      <c r="Q794" t="n">
        <v>-95</v>
      </c>
      <c r="R794" t="n">
        <v>0.0665</v>
      </c>
      <c r="S794">
        <f>IMAGE("https://mitra.stanford.edu/kundaje/oak/projects/neuro-variants/variant_position/credible/roussos_2024/variant_figures/roussos_2024.childhood.GLU/rs140587031_count_position.png",4,220,900)</f>
        <v/>
      </c>
      <c r="T794">
        <f>IMAGE("https://mitra.stanford.edu/kundaje/oak/projects/neuro-variants/variant_position/credible/roussos_2024/variant_figures/roussos_2024.childhood.GLU/rs140587031_profile_position.png",4,220,900)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0.08483404360000001</v>
      </c>
      <c r="G795" t="n">
        <v>0.0595498018068438</v>
      </c>
      <c r="H795" t="n">
        <v>0.0214889158000688</v>
      </c>
      <c r="I795" t="n">
        <v>0.0803005576044663</v>
      </c>
      <c r="J795" t="n">
        <v>0.5782119566897092</v>
      </c>
      <c r="K795" t="n">
        <v>0.0298691427669332</v>
      </c>
      <c r="L795" t="b">
        <v>0</v>
      </c>
      <c r="M795" t="b">
        <v>0</v>
      </c>
      <c r="N795" t="inlineStr">
        <is>
          <t>alt</t>
        </is>
      </c>
      <c r="O795" t="n">
        <v>-30</v>
      </c>
      <c r="P795" t="n">
        <v>0.0006104</v>
      </c>
      <c r="Q795" t="n">
        <v>-45</v>
      </c>
      <c r="R795" t="n">
        <v>0.02441</v>
      </c>
      <c r="S795">
        <f>IMAGE("https://mitra.stanford.edu/kundaje/oak/projects/neuro-variants/variant_position/credible/roussos_2024/variant_figures/roussos_2024.childhood.GLU/rs61928076_count_position.png",4,220,900)</f>
        <v/>
      </c>
      <c r="T795">
        <f>IMAGE("https://mitra.stanford.edu/kundaje/oak/projects/neuro-variants/variant_position/credible/roussos_2024/variant_figures/roussos_2024.childhood.GLU/rs61928076_profile_position.png",4,220,900)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0.156503296</v>
      </c>
      <c r="G796" t="n">
        <v>0.0174951099651255</v>
      </c>
      <c r="H796" t="n">
        <v>0.0208994243287598</v>
      </c>
      <c r="I796" t="n">
        <v>0.0946297274060567</v>
      </c>
      <c r="J796" t="n">
        <v>0.2998629812397622</v>
      </c>
      <c r="K796" t="n">
        <v>0.0979154431787489</v>
      </c>
      <c r="L796" t="b">
        <v>1</v>
      </c>
      <c r="M796" t="b">
        <v>0</v>
      </c>
      <c r="N796" t="inlineStr">
        <is>
          <t>alt</t>
        </is>
      </c>
      <c r="O796" t="n">
        <v>-100</v>
      </c>
      <c r="P796" t="n">
        <v>0.035</v>
      </c>
      <c r="Q796" t="n">
        <v>-100</v>
      </c>
      <c r="R796" t="n">
        <v>0.4219</v>
      </c>
      <c r="S796">
        <f>IMAGE("https://mitra.stanford.edu/kundaje/oak/projects/neuro-variants/variant_position/credible/roussos_2024/variant_figures/roussos_2024.childhood.GLU/rs11170562_count_position.png",4,220,900)</f>
        <v/>
      </c>
      <c r="T796">
        <f>IMAGE("https://mitra.stanford.edu/kundaje/oak/projects/neuro-variants/variant_position/credible/roussos_2024/variant_figures/roussos_2024.childhood.GLU/rs11170562_profile_position.png",4,220,900)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0.0351346994</v>
      </c>
      <c r="G797" t="n">
        <v>0.286385877967696</v>
      </c>
      <c r="H797" t="n">
        <v>0.0124201030636622</v>
      </c>
      <c r="I797" t="n">
        <v>0.4097624264598163</v>
      </c>
      <c r="J797" t="n">
        <v>0.0297639774588685</v>
      </c>
      <c r="K797" t="n">
        <v>0.4395650869526176</v>
      </c>
      <c r="L797" t="b">
        <v>0</v>
      </c>
      <c r="M797" t="b">
        <v>0</v>
      </c>
      <c r="N797" t="inlineStr">
        <is>
          <t>alt</t>
        </is>
      </c>
      <c r="O797" t="n">
        <v>-70</v>
      </c>
      <c r="P797" t="n">
        <v>0.01257</v>
      </c>
      <c r="Q797" t="n">
        <v>-80</v>
      </c>
      <c r="R797" t="n">
        <v>0.09520000000000001</v>
      </c>
      <c r="S797">
        <f>IMAGE("https://mitra.stanford.edu/kundaje/oak/projects/neuro-variants/variant_position/credible/roussos_2024/variant_figures/roussos_2024.childhood.GLU/rs7307025_count_position.png",4,220,900)</f>
        <v/>
      </c>
      <c r="T797">
        <f>IMAGE("https://mitra.stanford.edu/kundaje/oak/projects/neuro-variants/variant_position/credible/roussos_2024/variant_figures/roussos_2024.childhood.GLU/rs7307025_profile_position.png",4,220,900)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0.355308492</v>
      </c>
      <c r="G798" t="n">
        <v>0.0011533176212002</v>
      </c>
      <c r="H798" t="n">
        <v>0.06869489507622439</v>
      </c>
      <c r="I798" t="n">
        <v>0.0009846900250564</v>
      </c>
      <c r="J798" t="n">
        <v>0.1285215366705471</v>
      </c>
      <c r="K798" t="n">
        <v>0.2184904739386141</v>
      </c>
      <c r="L798" t="b">
        <v>1</v>
      </c>
      <c r="M798" t="b">
        <v>1</v>
      </c>
      <c r="N798" t="inlineStr">
        <is>
          <t>alt</t>
        </is>
      </c>
      <c r="O798" t="n">
        <v>-60</v>
      </c>
      <c r="P798" t="n">
        <v>0.009766</v>
      </c>
      <c r="Q798" t="n">
        <v>-100</v>
      </c>
      <c r="R798" t="n">
        <v>0.0963</v>
      </c>
      <c r="S798">
        <f>IMAGE("https://mitra.stanford.edu/kundaje/oak/projects/neuro-variants/variant_position/credible/roussos_2024/variant_figures/roussos_2024.childhood.GLU/rs55844955_count_position.png",4,220,900)</f>
        <v/>
      </c>
      <c r="T798">
        <f>IMAGE("https://mitra.stanford.edu/kundaje/oak/projects/neuro-variants/variant_position/credible/roussos_2024/variant_figures/roussos_2024.childhood.GLU/rs55844955_profile_position.png",4,220,900)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0.000626296712</v>
      </c>
      <c r="G799" t="n">
        <v>0.6954783399579502</v>
      </c>
      <c r="H799" t="n">
        <v>0.0057831520015266</v>
      </c>
      <c r="I799" t="n">
        <v>0.9886097956041112</v>
      </c>
      <c r="J799" t="n">
        <v>0.005544623816539</v>
      </c>
      <c r="K799" t="n">
        <v>0.6575815594030567</v>
      </c>
      <c r="L799" t="b">
        <v>0</v>
      </c>
      <c r="M799" t="b">
        <v>0</v>
      </c>
      <c r="N799" t="inlineStr">
        <is>
          <t>alt</t>
        </is>
      </c>
      <c r="O799" t="n">
        <v>-15</v>
      </c>
      <c r="P799" t="n">
        <v>0.006115</v>
      </c>
      <c r="Q799" t="n">
        <v>-25</v>
      </c>
      <c r="R799" t="n">
        <v>0.03375</v>
      </c>
      <c r="S799">
        <f>IMAGE("https://mitra.stanford.edu/kundaje/oak/projects/neuro-variants/variant_position/credible/roussos_2024/variant_figures/roussos_2024.childhood.GLU/rs7973727_count_position.png",4,220,900)</f>
        <v/>
      </c>
      <c r="T799">
        <f>IMAGE("https://mitra.stanford.edu/kundaje/oak/projects/neuro-variants/variant_position/credible/roussos_2024/variant_figures/roussos_2024.childhood.GLU/rs7973727_profile_position.png",4,220,900)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0.0298496546</v>
      </c>
      <c r="G800" t="n">
        <v>0.335971902999757</v>
      </c>
      <c r="H800" t="n">
        <v>0.0152284956308854</v>
      </c>
      <c r="I800" t="n">
        <v>0.2404751637713501</v>
      </c>
      <c r="J800" t="n">
        <v>0.0061555420482758</v>
      </c>
      <c r="K800" t="n">
        <v>0.650522197874339</v>
      </c>
      <c r="L800" t="b">
        <v>0</v>
      </c>
      <c r="M800" t="b">
        <v>0</v>
      </c>
      <c r="N800" t="inlineStr">
        <is>
          <t>alt</t>
        </is>
      </c>
      <c r="O800" t="n">
        <v>65</v>
      </c>
      <c r="P800" t="n">
        <v>0.00493</v>
      </c>
      <c r="Q800" t="n">
        <v>-100</v>
      </c>
      <c r="R800" t="n">
        <v>0.09216000000000001</v>
      </c>
      <c r="S800">
        <f>IMAGE("https://mitra.stanford.edu/kundaje/oak/projects/neuro-variants/variant_position/credible/roussos_2024/variant_figures/roussos_2024.childhood.GLU/rs61924145_count_position.png",4,220,900)</f>
        <v/>
      </c>
      <c r="T800">
        <f>IMAGE("https://mitra.stanford.edu/kundaje/oak/projects/neuro-variants/variant_position/credible/roussos_2024/variant_figures/roussos_2024.childhood.GLU/rs61924145_profile_position.png",4,220,900)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0.0274011394999999</v>
      </c>
      <c r="G801" t="n">
        <v>0.3982152042981519</v>
      </c>
      <c r="H801" t="n">
        <v>0.0116920808622068</v>
      </c>
      <c r="I801" t="n">
        <v>0.4873116585690012</v>
      </c>
      <c r="J801" t="n">
        <v>0.0042527326485828</v>
      </c>
      <c r="K801" t="n">
        <v>0.7206550232088265</v>
      </c>
      <c r="L801" t="b">
        <v>0</v>
      </c>
      <c r="M801" t="b">
        <v>0</v>
      </c>
      <c r="N801" t="inlineStr">
        <is>
          <t>alt</t>
        </is>
      </c>
      <c r="O801" t="n">
        <v>15</v>
      </c>
      <c r="P801" t="n">
        <v>0.001999</v>
      </c>
      <c r="Q801" t="n">
        <v>-30</v>
      </c>
      <c r="R801" t="n">
        <v>0.1273</v>
      </c>
      <c r="S801">
        <f>IMAGE("https://mitra.stanford.edu/kundaje/oak/projects/neuro-variants/variant_position/credible/roussos_2024/variant_figures/roussos_2024.childhood.GLU/rs12302711_count_position.png",4,220,900)</f>
        <v/>
      </c>
      <c r="T801">
        <f>IMAGE("https://mitra.stanford.edu/kundaje/oak/projects/neuro-variants/variant_position/credible/roussos_2024/variant_figures/roussos_2024.childhood.GLU/rs12302711_profile_position.png",4,220,900)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-0.0735844874</v>
      </c>
      <c r="G802" t="n">
        <v>0.0899757898352655</v>
      </c>
      <c r="H802" t="n">
        <v>0.0304128313455028</v>
      </c>
      <c r="I802" t="n">
        <v>0.0199667849959485</v>
      </c>
      <c r="J802" t="n">
        <v>0.0401495873983948</v>
      </c>
      <c r="K802" t="n">
        <v>0.4095536085805967</v>
      </c>
      <c r="L802" t="b">
        <v>1</v>
      </c>
      <c r="M802" t="b">
        <v>0</v>
      </c>
      <c r="N802" t="inlineStr">
        <is>
          <t>ref</t>
        </is>
      </c>
      <c r="O802" t="n">
        <v>30</v>
      </c>
      <c r="P802" t="n">
        <v>0.004135</v>
      </c>
      <c r="Q802" t="n">
        <v>-10</v>
      </c>
      <c r="R802" t="n">
        <v>0.02856</v>
      </c>
      <c r="S802">
        <f>IMAGE("https://mitra.stanford.edu/kundaje/oak/projects/neuro-variants/variant_position/credible/roussos_2024/variant_figures/roussos_2024.childhood.GLU/rs17110384_count_position.png",4,220,900)</f>
        <v/>
      </c>
      <c r="T802">
        <f>IMAGE("https://mitra.stanford.edu/kundaje/oak/projects/neuro-variants/variant_position/credible/roussos_2024/variant_figures/roussos_2024.childhood.GLU/rs17110384_profile_position.png",4,220,900)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-0.15016864</v>
      </c>
      <c r="G803" t="n">
        <v>0.0183652896670295</v>
      </c>
      <c r="H803" t="n">
        <v>0.0236950663654606</v>
      </c>
      <c r="I803" t="n">
        <v>0.0565239984701929</v>
      </c>
      <c r="J803" t="n">
        <v>0.0335325084735285</v>
      </c>
      <c r="K803" t="n">
        <v>0.4385922550913592</v>
      </c>
      <c r="L803" t="b">
        <v>1</v>
      </c>
      <c r="M803" t="b">
        <v>0</v>
      </c>
      <c r="N803" t="inlineStr">
        <is>
          <t>ref</t>
        </is>
      </c>
      <c r="O803" t="n">
        <v>-40</v>
      </c>
      <c r="P803" t="n">
        <v>0.01837</v>
      </c>
      <c r="Q803" t="n">
        <v>-40</v>
      </c>
      <c r="R803" t="n">
        <v>0.11816</v>
      </c>
      <c r="S803">
        <f>IMAGE("https://mitra.stanford.edu/kundaje/oak/projects/neuro-variants/variant_position/credible/roussos_2024/variant_figures/roussos_2024.childhood.GLU/rs17110387_count_position.png",4,220,900)</f>
        <v/>
      </c>
      <c r="T803">
        <f>IMAGE("https://mitra.stanford.edu/kundaje/oak/projects/neuro-variants/variant_position/credible/roussos_2024/variant_figures/roussos_2024.childhood.GLU/rs17110387_profile_position.png",4,220,900)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0.11565874</v>
      </c>
      <c r="G804" t="n">
        <v>0.0336600206983856</v>
      </c>
      <c r="H804" t="n">
        <v>0.0312063810317977</v>
      </c>
      <c r="I804" t="n">
        <v>0.0180740986734726</v>
      </c>
      <c r="J804" t="n">
        <v>0.0148052376193762</v>
      </c>
      <c r="K804" t="n">
        <v>0.5415285808839814</v>
      </c>
      <c r="L804" t="b">
        <v>1</v>
      </c>
      <c r="M804" t="b">
        <v>0</v>
      </c>
      <c r="N804" t="inlineStr">
        <is>
          <t>alt</t>
        </is>
      </c>
      <c r="O804" t="n">
        <v>25</v>
      </c>
      <c r="P804" t="n">
        <v>0.0007706</v>
      </c>
      <c r="Q804" t="n">
        <v>-75</v>
      </c>
      <c r="R804" t="n">
        <v>0.03674</v>
      </c>
      <c r="S804">
        <f>IMAGE("https://mitra.stanford.edu/kundaje/oak/projects/neuro-variants/variant_position/credible/roussos_2024/variant_figures/roussos_2024.childhood.GLU/rs11178985_count_position.png",4,220,900)</f>
        <v/>
      </c>
      <c r="T804">
        <f>IMAGE("https://mitra.stanford.edu/kundaje/oak/projects/neuro-variants/variant_position/credible/roussos_2024/variant_figures/roussos_2024.childhood.GLU/rs11178985_profile_position.png",4,220,900)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-0.006209630776</v>
      </c>
      <c r="G805" t="n">
        <v>0.6594047921470656</v>
      </c>
      <c r="H805" t="n">
        <v>0.0126797388696793</v>
      </c>
      <c r="I805" t="n">
        <v>0.3939044041390447</v>
      </c>
      <c r="J805" t="n">
        <v>0.0144055137173292</v>
      </c>
      <c r="K805" t="n">
        <v>0.5410333326146896</v>
      </c>
      <c r="L805" t="b">
        <v>0</v>
      </c>
      <c r="M805" t="b">
        <v>0</v>
      </c>
      <c r="N805" t="inlineStr">
        <is>
          <t>ref</t>
        </is>
      </c>
      <c r="O805" t="n">
        <v>35</v>
      </c>
      <c r="P805" t="n">
        <v>0.002645</v>
      </c>
      <c r="Q805" t="n">
        <v>95</v>
      </c>
      <c r="R805" t="n">
        <v>0.2915</v>
      </c>
      <c r="S805">
        <f>IMAGE("https://mitra.stanford.edu/kundaje/oak/projects/neuro-variants/variant_position/credible/roussos_2024/variant_figures/roussos_2024.childhood.GLU/rs10506643_count_position.png",4,220,900)</f>
        <v/>
      </c>
      <c r="T805">
        <f>IMAGE("https://mitra.stanford.edu/kundaje/oak/projects/neuro-variants/variant_position/credible/roussos_2024/variant_figures/roussos_2024.childhood.GLU/rs10506643_profile_position.png",4,220,900)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-0.004381501252</v>
      </c>
      <c r="G806" t="n">
        <v>0.8355323680475674</v>
      </c>
      <c r="H806" t="n">
        <v>0.0066173370581098</v>
      </c>
      <c r="I806" t="n">
        <v>0.9637518555266252</v>
      </c>
      <c r="J806" t="n">
        <v>7.932665066395688e-05</v>
      </c>
      <c r="K806" t="n">
        <v>0.9574681745613602</v>
      </c>
      <c r="L806" t="b">
        <v>0</v>
      </c>
      <c r="M806" t="b">
        <v>0</v>
      </c>
      <c r="N806" t="inlineStr">
        <is>
          <t>ref</t>
        </is>
      </c>
      <c r="O806" t="n">
        <v>60</v>
      </c>
      <c r="P806" t="n">
        <v>0.00448</v>
      </c>
      <c r="Q806" t="n">
        <v>40</v>
      </c>
      <c r="R806" t="n">
        <v>0.0689</v>
      </c>
      <c r="S806">
        <f>IMAGE("https://mitra.stanford.edu/kundaje/oak/projects/neuro-variants/variant_position/credible/roussos_2024/variant_figures/roussos_2024.childhood.GLU/rs7955462_count_position.png",4,220,900)</f>
        <v/>
      </c>
      <c r="T806">
        <f>IMAGE("https://mitra.stanford.edu/kundaje/oak/projects/neuro-variants/variant_position/credible/roussos_2024/variant_figures/roussos_2024.childhood.GLU/rs7955462_profile_position.png",4,220,900)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-0.000464103148</v>
      </c>
      <c r="G807" t="n">
        <v>0.6971769930966055</v>
      </c>
      <c r="H807" t="n">
        <v>0.0330358141855827</v>
      </c>
      <c r="I807" t="n">
        <v>0.0145388420070147</v>
      </c>
      <c r="J807" t="n">
        <v>0.0003832404421687</v>
      </c>
      <c r="K807" t="n">
        <v>0.8846036553816082</v>
      </c>
      <c r="L807" t="b">
        <v>0</v>
      </c>
      <c r="M807" t="b">
        <v>0</v>
      </c>
      <c r="N807" t="inlineStr">
        <is>
          <t>ref</t>
        </is>
      </c>
      <c r="O807" t="n">
        <v>50</v>
      </c>
      <c r="P807" t="n">
        <v>0.002121</v>
      </c>
      <c r="Q807" t="n">
        <v>-100</v>
      </c>
      <c r="R807" t="n">
        <v>0.09845</v>
      </c>
      <c r="S807">
        <f>IMAGE("https://mitra.stanford.edu/kundaje/oak/projects/neuro-variants/variant_position/credible/roussos_2024/variant_figures/roussos_2024.childhood.GLU/rs6582256_count_position.png",4,220,900)</f>
        <v/>
      </c>
      <c r="T807">
        <f>IMAGE("https://mitra.stanford.edu/kundaje/oak/projects/neuro-variants/variant_position/credible/roussos_2024/variant_figures/roussos_2024.childhood.GLU/rs6582256_profile_position.png",4,220,900)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0.010407944</v>
      </c>
      <c r="G808" t="n">
        <v>0.4760448111588261</v>
      </c>
      <c r="H808" t="n">
        <v>0.0231947033739265</v>
      </c>
      <c r="I808" t="n">
        <v>0.0578991106506511</v>
      </c>
      <c r="J808" t="n">
        <v>0.0438243687349974</v>
      </c>
      <c r="K808" t="n">
        <v>0.3886831485980865</v>
      </c>
      <c r="L808" t="b">
        <v>0</v>
      </c>
      <c r="M808" t="b">
        <v>0</v>
      </c>
      <c r="N808" t="inlineStr">
        <is>
          <t>alt</t>
        </is>
      </c>
      <c r="O808" t="n">
        <v>30</v>
      </c>
      <c r="P808" t="n">
        <v>0.01456</v>
      </c>
      <c r="Q808" t="n">
        <v>100</v>
      </c>
      <c r="R808" t="n">
        <v>0.327</v>
      </c>
      <c r="S808">
        <f>IMAGE("https://mitra.stanford.edu/kundaje/oak/projects/neuro-variants/variant_position/credible/roussos_2024/variant_figures/roussos_2024.childhood.GLU/rs6582260_count_position.png",4,220,900)</f>
        <v/>
      </c>
      <c r="T808">
        <f>IMAGE("https://mitra.stanford.edu/kundaje/oak/projects/neuro-variants/variant_position/credible/roussos_2024/variant_figures/roussos_2024.childhood.GLU/rs6582260_profile_position.png",4,220,900)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-0.169072706</v>
      </c>
      <c r="G809" t="n">
        <v>0.0123800414343905</v>
      </c>
      <c r="H809" t="n">
        <v>0.0398523468122497</v>
      </c>
      <c r="I809" t="n">
        <v>0.0068554056877525</v>
      </c>
      <c r="J809" t="n">
        <v>0.0337910927503682</v>
      </c>
      <c r="K809" t="n">
        <v>0.4087698610001533</v>
      </c>
      <c r="L809" t="b">
        <v>1</v>
      </c>
      <c r="M809" t="b">
        <v>0</v>
      </c>
      <c r="N809" t="inlineStr">
        <is>
          <t>ref</t>
        </is>
      </c>
      <c r="O809" t="n">
        <v>-90</v>
      </c>
      <c r="P809" t="n">
        <v>0.03183</v>
      </c>
      <c r="Q809" t="n">
        <v>-10</v>
      </c>
      <c r="R809" t="n">
        <v>0.02734</v>
      </c>
      <c r="S809">
        <f>IMAGE("https://mitra.stanford.edu/kundaje/oak/projects/neuro-variants/variant_position/credible/roussos_2024/variant_figures/roussos_2024.childhood.GLU/rs12316904_count_position.png",4,220,900)</f>
        <v/>
      </c>
      <c r="T809">
        <f>IMAGE("https://mitra.stanford.edu/kundaje/oak/projects/neuro-variants/variant_position/credible/roussos_2024/variant_figures/roussos_2024.childhood.GLU/rs12316904_profile_position.png",4,220,900)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0.00030864064</v>
      </c>
      <c r="G810" t="n">
        <v>0.8569336134716506</v>
      </c>
      <c r="H810" t="n">
        <v>0.0190819639107106</v>
      </c>
      <c r="I810" t="n">
        <v>0.1167043931258258</v>
      </c>
      <c r="J810" t="n">
        <v>0.0081448896123295</v>
      </c>
      <c r="K810" t="n">
        <v>0.6130435794814548</v>
      </c>
      <c r="L810" t="b">
        <v>0</v>
      </c>
      <c r="M810" t="b">
        <v>0</v>
      </c>
      <c r="N810" t="inlineStr">
        <is>
          <t>alt</t>
        </is>
      </c>
      <c r="O810" t="n">
        <v>-100</v>
      </c>
      <c r="P810" t="n">
        <v>0.014565</v>
      </c>
      <c r="Q810" t="n">
        <v>-85</v>
      </c>
      <c r="R810" t="n">
        <v>0.08966</v>
      </c>
      <c r="S810">
        <f>IMAGE("https://mitra.stanford.edu/kundaje/oak/projects/neuro-variants/variant_position/credible/roussos_2024/variant_figures/roussos_2024.childhood.GLU/rs1526821_count_position.png",4,220,900)</f>
        <v/>
      </c>
      <c r="T810">
        <f>IMAGE("https://mitra.stanford.edu/kundaje/oak/projects/neuro-variants/variant_position/credible/roussos_2024/variant_figures/roussos_2024.childhood.GLU/rs1526821_profile_position.png",4,220,900)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-0.02172336984</v>
      </c>
      <c r="G811" t="n">
        <v>0.4143664494042486</v>
      </c>
      <c r="H811" t="n">
        <v>0.020550364497138</v>
      </c>
      <c r="I811" t="n">
        <v>0.09041204742799019</v>
      </c>
      <c r="J811" t="n">
        <v>0.0818032905106781</v>
      </c>
      <c r="K811" t="n">
        <v>0.2763752808873315</v>
      </c>
      <c r="L811" t="b">
        <v>0</v>
      </c>
      <c r="M811" t="b">
        <v>0</v>
      </c>
      <c r="N811" t="inlineStr">
        <is>
          <t>ref</t>
        </is>
      </c>
      <c r="O811" t="n">
        <v>-20</v>
      </c>
      <c r="P811" t="n">
        <v>0.002258</v>
      </c>
      <c r="Q811" t="n">
        <v>-70</v>
      </c>
      <c r="R811" t="n">
        <v>0.10547</v>
      </c>
      <c r="S811">
        <f>IMAGE("https://mitra.stanford.edu/kundaje/oak/projects/neuro-variants/variant_position/credible/roussos_2024/variant_figures/roussos_2024.childhood.GLU/rs12315638_count_position.png",4,220,900)</f>
        <v/>
      </c>
      <c r="T811">
        <f>IMAGE("https://mitra.stanford.edu/kundaje/oak/projects/neuro-variants/variant_position/credible/roussos_2024/variant_figures/roussos_2024.childhood.GLU/rs12315638_profile_position.png",4,220,900)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-0.2284348679999999</v>
      </c>
      <c r="G812" t="n">
        <v>0.0052487119524018</v>
      </c>
      <c r="H812" t="n">
        <v>0.0306472150416751</v>
      </c>
      <c r="I812" t="n">
        <v>0.0196791949015103</v>
      </c>
      <c r="J812" t="n">
        <v>0.020859818475898</v>
      </c>
      <c r="K812" t="n">
        <v>0.484121013539855</v>
      </c>
      <c r="L812" t="b">
        <v>1</v>
      </c>
      <c r="M812" t="b">
        <v>1</v>
      </c>
      <c r="N812" t="inlineStr">
        <is>
          <t>ref</t>
        </is>
      </c>
      <c r="O812" t="n">
        <v>-100</v>
      </c>
      <c r="P812" t="n">
        <v>0.003012</v>
      </c>
      <c r="Q812" t="n">
        <v>-45</v>
      </c>
      <c r="R812" t="n">
        <v>0.06616</v>
      </c>
      <c r="S812">
        <f>IMAGE("https://mitra.stanford.edu/kundaje/oak/projects/neuro-variants/variant_position/credible/roussos_2024/variant_figures/roussos_2024.childhood.GLU/rs11180302_count_position.png",4,220,900)</f>
        <v/>
      </c>
      <c r="T812">
        <f>IMAGE("https://mitra.stanford.edu/kundaje/oak/projects/neuro-variants/variant_position/credible/roussos_2024/variant_figures/roussos_2024.childhood.GLU/rs11180302_profile_position.png",4,220,900)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-0.150422701</v>
      </c>
      <c r="G813" t="n">
        <v>0.0188197770126761</v>
      </c>
      <c r="H813" t="n">
        <v>0.0221371004170805</v>
      </c>
      <c r="I813" t="n">
        <v>0.08792254479214801</v>
      </c>
      <c r="J813" t="n">
        <v>0.0017791834506062</v>
      </c>
      <c r="K813" t="n">
        <v>0.7760614913241178</v>
      </c>
      <c r="L813" t="b">
        <v>1</v>
      </c>
      <c r="M813" t="b">
        <v>0</v>
      </c>
      <c r="N813" t="inlineStr">
        <is>
          <t>ref</t>
        </is>
      </c>
      <c r="O813" t="n">
        <v>90</v>
      </c>
      <c r="P813" t="n">
        <v>0.02716</v>
      </c>
      <c r="Q813" t="n">
        <v>-100</v>
      </c>
      <c r="R813" t="n">
        <v>0.03375</v>
      </c>
      <c r="S813">
        <f>IMAGE("https://mitra.stanford.edu/kundaje/oak/projects/neuro-variants/variant_position/credible/roussos_2024/variant_figures/roussos_2024.childhood.GLU/rs1526803_count_position.png",4,220,900)</f>
        <v/>
      </c>
      <c r="T813">
        <f>IMAGE("https://mitra.stanford.edu/kundaje/oak/projects/neuro-variants/variant_position/credible/roussos_2024/variant_figures/roussos_2024.childhood.GLU/rs1526803_profile_position.png",4,220,900)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-0.000740945756</v>
      </c>
      <c r="G814" t="n">
        <v>0.8829191212233485</v>
      </c>
      <c r="H814" t="n">
        <v>0.0228143337675521</v>
      </c>
      <c r="I814" t="n">
        <v>0.0613330845976314</v>
      </c>
      <c r="J814" t="n">
        <v>0.0181173828386577</v>
      </c>
      <c r="K814" t="n">
        <v>0.5061342492581241</v>
      </c>
      <c r="L814" t="b">
        <v>0</v>
      </c>
      <c r="M814" t="b">
        <v>0</v>
      </c>
      <c r="N814" t="inlineStr">
        <is>
          <t>ref</t>
        </is>
      </c>
      <c r="O814" t="n">
        <v>35</v>
      </c>
      <c r="P814" t="n">
        <v>0.01045</v>
      </c>
      <c r="Q814" t="n">
        <v>-45</v>
      </c>
      <c r="R814" t="n">
        <v>0.06573</v>
      </c>
      <c r="S814">
        <f>IMAGE("https://mitra.stanford.edu/kundaje/oak/projects/neuro-variants/variant_position/credible/roussos_2024/variant_figures/roussos_2024.childhood.GLU/rs952408_count_position.png",4,220,900)</f>
        <v/>
      </c>
      <c r="T814">
        <f>IMAGE("https://mitra.stanford.edu/kundaje/oak/projects/neuro-variants/variant_position/credible/roussos_2024/variant_figures/roussos_2024.childhood.GLU/rs952408_profile_position.png",4,220,900)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-0.195707612</v>
      </c>
      <c r="G815" t="n">
        <v>0.0090256400403552</v>
      </c>
      <c r="H815" t="n">
        <v>0.044331594815905</v>
      </c>
      <c r="I815" t="n">
        <v>0.0045458636572019</v>
      </c>
      <c r="J815" t="n">
        <v>0.0431650303398682</v>
      </c>
      <c r="K815" t="n">
        <v>0.3731099644163356</v>
      </c>
      <c r="L815" t="b">
        <v>1</v>
      </c>
      <c r="M815" t="b">
        <v>1</v>
      </c>
      <c r="N815" t="inlineStr">
        <is>
          <t>ref</t>
        </is>
      </c>
      <c r="O815" t="n">
        <v>50</v>
      </c>
      <c r="P815" t="n">
        <v>0.00757</v>
      </c>
      <c r="Q815" t="n">
        <v>90</v>
      </c>
      <c r="R815" t="n">
        <v>0.0989</v>
      </c>
      <c r="S815">
        <f>IMAGE("https://mitra.stanford.edu/kundaje/oak/projects/neuro-variants/variant_position/credible/roussos_2024/variant_figures/roussos_2024.childhood.GLU/rs12300503_count_position.png",4,220,900)</f>
        <v/>
      </c>
      <c r="T815">
        <f>IMAGE("https://mitra.stanford.edu/kundaje/oak/projects/neuro-variants/variant_position/credible/roussos_2024/variant_figures/roussos_2024.childhood.GLU/rs12300503_profile_position.png",4,220,900)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-0.0430016056</v>
      </c>
      <c r="G816" t="n">
        <v>0.2286988522490028</v>
      </c>
      <c r="H816" t="n">
        <v>0.0125856745613389</v>
      </c>
      <c r="I816" t="n">
        <v>0.4012435857702016</v>
      </c>
      <c r="J816" t="n">
        <v>0.0010302162423892</v>
      </c>
      <c r="K816" t="n">
        <v>0.8327801472918726</v>
      </c>
      <c r="L816" t="b">
        <v>0</v>
      </c>
      <c r="M816" t="b">
        <v>0</v>
      </c>
      <c r="N816" t="inlineStr">
        <is>
          <t>ref</t>
        </is>
      </c>
      <c r="O816" t="n">
        <v>100</v>
      </c>
      <c r="P816" t="n">
        <v>0.007427</v>
      </c>
      <c r="Q816" t="n">
        <v>95</v>
      </c>
      <c r="R816" t="n">
        <v>0.02573</v>
      </c>
      <c r="S816">
        <f>IMAGE("https://mitra.stanford.edu/kundaje/oak/projects/neuro-variants/variant_position/credible/roussos_2024/variant_figures/roussos_2024.childhood.GLU/rs17014518_count_position.png",4,220,900)</f>
        <v/>
      </c>
      <c r="T816">
        <f>IMAGE("https://mitra.stanford.edu/kundaje/oak/projects/neuro-variants/variant_position/credible/roussos_2024/variant_figures/roussos_2024.childhood.GLU/rs17014518_profile_position.png",4,220,900)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0.0345867933999999</v>
      </c>
      <c r="G817" t="n">
        <v>0.277070380297149</v>
      </c>
      <c r="H817" t="n">
        <v>0.0100271986003976</v>
      </c>
      <c r="I817" t="n">
        <v>0.660419153529692</v>
      </c>
      <c r="J817" t="n">
        <v>0.009311094398714199</v>
      </c>
      <c r="K817" t="n">
        <v>0.600046671891044</v>
      </c>
      <c r="L817" t="b">
        <v>0</v>
      </c>
      <c r="M817" t="b">
        <v>0</v>
      </c>
      <c r="N817" t="inlineStr">
        <is>
          <t>alt</t>
        </is>
      </c>
      <c r="O817" t="n">
        <v>90</v>
      </c>
      <c r="P817" t="n">
        <v>0.001434</v>
      </c>
      <c r="Q817" t="n">
        <v>-100</v>
      </c>
      <c r="R817" t="n">
        <v>0.10583</v>
      </c>
      <c r="S817">
        <f>IMAGE("https://mitra.stanford.edu/kundaje/oak/projects/neuro-variants/variant_position/credible/roussos_2024/variant_figures/roussos_2024.childhood.GLU/rs66619626_count_position.png",4,220,900)</f>
        <v/>
      </c>
      <c r="T817">
        <f>IMAGE("https://mitra.stanford.edu/kundaje/oak/projects/neuro-variants/variant_position/credible/roussos_2024/variant_figures/roussos_2024.childhood.GLU/rs66619626_profile_position.png",4,220,900)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-0.0302454675</v>
      </c>
      <c r="G818" t="n">
        <v>0.3462235141374711</v>
      </c>
      <c r="H818" t="n">
        <v>0.0330138302479801</v>
      </c>
      <c r="I818" t="n">
        <v>0.0144221981144885</v>
      </c>
      <c r="J818" t="n">
        <v>0.0004244490918643</v>
      </c>
      <c r="K818" t="n">
        <v>0.8761685442996016</v>
      </c>
      <c r="L818" t="b">
        <v>0</v>
      </c>
      <c r="M818" t="b">
        <v>0</v>
      </c>
      <c r="N818" t="inlineStr">
        <is>
          <t>ref</t>
        </is>
      </c>
      <c r="O818" t="n">
        <v>20</v>
      </c>
      <c r="P818" t="n">
        <v>0.000618</v>
      </c>
      <c r="Q818" t="n">
        <v>-95</v>
      </c>
      <c r="R818" t="n">
        <v>0.08434999999999999</v>
      </c>
      <c r="S818">
        <f>IMAGE("https://mitra.stanford.edu/kundaje/oak/projects/neuro-variants/variant_position/credible/roussos_2024/variant_figures/roussos_2024.childhood.GLU/rs11104403_count_position.png",4,220,900)</f>
        <v/>
      </c>
      <c r="T818">
        <f>IMAGE("https://mitra.stanford.edu/kundaje/oak/projects/neuro-variants/variant_position/credible/roussos_2024/variant_figures/roussos_2024.childhood.GLU/rs11104403_profile_position.png",4,220,900)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-0.09799007</v>
      </c>
      <c r="G819" t="n">
        <v>0.0516428640341096</v>
      </c>
      <c r="H819" t="n">
        <v>0.0227023079601383</v>
      </c>
      <c r="I819" t="n">
        <v>0.0670908077041109</v>
      </c>
      <c r="J819" t="n">
        <v>0.0007767830467613999</v>
      </c>
      <c r="K819" t="n">
        <v>0.8506987056951616</v>
      </c>
      <c r="L819" t="b">
        <v>0</v>
      </c>
      <c r="M819" t="b">
        <v>0</v>
      </c>
      <c r="N819" t="inlineStr">
        <is>
          <t>ref</t>
        </is>
      </c>
      <c r="O819" t="n">
        <v>-75</v>
      </c>
      <c r="P819" t="n">
        <v>0.001526</v>
      </c>
      <c r="Q819" t="n">
        <v>-80</v>
      </c>
      <c r="R819" t="n">
        <v>0.05936</v>
      </c>
      <c r="S819">
        <f>IMAGE("https://mitra.stanford.edu/kundaje/oak/projects/neuro-variants/variant_position/credible/roussos_2024/variant_figures/roussos_2024.childhood.GLU/rs12815820_count_position.png",4,220,900)</f>
        <v/>
      </c>
      <c r="T819">
        <f>IMAGE("https://mitra.stanford.edu/kundaje/oak/projects/neuro-variants/variant_position/credible/roussos_2024/variant_figures/roussos_2024.childhood.GLU/rs12815820_profile_position.png",4,220,900)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0.0518040926</v>
      </c>
      <c r="G820" t="n">
        <v>0.1686524054928306</v>
      </c>
      <c r="H820" t="n">
        <v>0.0255636899046019</v>
      </c>
      <c r="I820" t="n">
        <v>0.0402608099368201</v>
      </c>
      <c r="J820" t="n">
        <v>0.0221929182935497</v>
      </c>
      <c r="K820" t="n">
        <v>0.4795643760867507</v>
      </c>
      <c r="L820" t="b">
        <v>0</v>
      </c>
      <c r="M820" t="b">
        <v>0</v>
      </c>
      <c r="N820" t="inlineStr">
        <is>
          <t>alt</t>
        </is>
      </c>
      <c r="O820" t="n">
        <v>50</v>
      </c>
      <c r="P820" t="n">
        <v>0.00441</v>
      </c>
      <c r="Q820" t="n">
        <v>10</v>
      </c>
      <c r="R820" t="n">
        <v>0.02142</v>
      </c>
      <c r="S820">
        <f>IMAGE("https://mitra.stanford.edu/kundaje/oak/projects/neuro-variants/variant_position/credible/roussos_2024/variant_figures/roussos_2024.childhood.GLU/rs725421_count_position.png",4,220,900)</f>
        <v/>
      </c>
      <c r="T820">
        <f>IMAGE("https://mitra.stanford.edu/kundaje/oak/projects/neuro-variants/variant_position/credible/roussos_2024/variant_figures/roussos_2024.childhood.GLU/rs725421_profile_position.png",4,220,900)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0.005485738858</v>
      </c>
      <c r="G821" t="n">
        <v>0.5206747774060195</v>
      </c>
      <c r="H821" t="n">
        <v>0.0145701288730683</v>
      </c>
      <c r="I821" t="n">
        <v>0.2722668938363082</v>
      </c>
      <c r="J821" t="n">
        <v>0.0324518116352622</v>
      </c>
      <c r="K821" t="n">
        <v>0.4229694588010932</v>
      </c>
      <c r="L821" t="b">
        <v>0</v>
      </c>
      <c r="M821" t="b">
        <v>0</v>
      </c>
      <c r="N821" t="inlineStr">
        <is>
          <t>alt</t>
        </is>
      </c>
      <c r="O821" t="n">
        <v>-65</v>
      </c>
      <c r="P821" t="n">
        <v>0.003082</v>
      </c>
      <c r="Q821" t="n">
        <v>-35</v>
      </c>
      <c r="R821" t="n">
        <v>0.04956</v>
      </c>
      <c r="S821">
        <f>IMAGE("https://mitra.stanford.edu/kundaje/oak/projects/neuro-variants/variant_position/credible/roussos_2024/variant_figures/roussos_2024.childhood.GLU/rs7972062_count_position.png",4,220,900)</f>
        <v/>
      </c>
      <c r="T821">
        <f>IMAGE("https://mitra.stanford.edu/kundaje/oak/projects/neuro-variants/variant_position/credible/roussos_2024/variant_figures/roussos_2024.childhood.GLU/rs7972062_profile_position.png",4,220,900)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0.00255935289</v>
      </c>
      <c r="G822" t="n">
        <v>0.7077641422574992</v>
      </c>
      <c r="H822" t="n">
        <v>0.008333272654062401</v>
      </c>
      <c r="I822" t="n">
        <v>0.8231173015077277</v>
      </c>
      <c r="J822" t="n">
        <v>0.0611896937167111</v>
      </c>
      <c r="K822" t="n">
        <v>0.3202095075761915</v>
      </c>
      <c r="L822" t="b">
        <v>0</v>
      </c>
      <c r="M822" t="b">
        <v>0</v>
      </c>
      <c r="N822" t="inlineStr">
        <is>
          <t>alt</t>
        </is>
      </c>
      <c r="O822" t="n">
        <v>90</v>
      </c>
      <c r="P822" t="n">
        <v>0.03275</v>
      </c>
      <c r="Q822" t="n">
        <v>95</v>
      </c>
      <c r="R822" t="n">
        <v>0.1904</v>
      </c>
      <c r="S822">
        <f>IMAGE("https://mitra.stanford.edu/kundaje/oak/projects/neuro-variants/variant_position/credible/roussos_2024/variant_figures/roussos_2024.childhood.GLU/rs10858579_count_position.png",4,220,900)</f>
        <v/>
      </c>
      <c r="T822">
        <f>IMAGE("https://mitra.stanford.edu/kundaje/oak/projects/neuro-variants/variant_position/credible/roussos_2024/variant_figures/roussos_2024.childhood.GLU/rs10858579_profile_position.png",4,220,900)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-0.03321597566</v>
      </c>
      <c r="G823" t="n">
        <v>0.319593231706793</v>
      </c>
      <c r="H823" t="n">
        <v>0.0318161989453527</v>
      </c>
      <c r="I823" t="n">
        <v>0.0171305767255548</v>
      </c>
      <c r="J823" t="n">
        <v>0.0168048873458538</v>
      </c>
      <c r="K823" t="n">
        <v>0.5232702459734889</v>
      </c>
      <c r="L823" t="b">
        <v>1</v>
      </c>
      <c r="M823" t="b">
        <v>0</v>
      </c>
      <c r="N823" t="inlineStr">
        <is>
          <t>ref</t>
        </is>
      </c>
      <c r="O823" t="n">
        <v>-60</v>
      </c>
      <c r="P823" t="n">
        <v>0.00586</v>
      </c>
      <c r="Q823" t="n">
        <v>-85</v>
      </c>
      <c r="R823" t="n">
        <v>0.1611</v>
      </c>
      <c r="S823">
        <f>IMAGE("https://mitra.stanford.edu/kundaje/oak/projects/neuro-variants/variant_position/credible/roussos_2024/variant_figures/roussos_2024.childhood.GLU/rs1845141_count_position.png",4,220,900)</f>
        <v/>
      </c>
      <c r="T823">
        <f>IMAGE("https://mitra.stanford.edu/kundaje/oak/projects/neuro-variants/variant_position/credible/roussos_2024/variant_figures/roussos_2024.childhood.GLU/rs1845141_profile_position.png",4,220,900)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0.0428789192</v>
      </c>
      <c r="G824" t="n">
        <v>0.225358029629894</v>
      </c>
      <c r="H824" t="n">
        <v>0.011563626354796</v>
      </c>
      <c r="I824" t="n">
        <v>0.4922280051433387</v>
      </c>
      <c r="J824" t="n">
        <v>0.002125336108049</v>
      </c>
      <c r="K824" t="n">
        <v>0.7896038769821057</v>
      </c>
      <c r="L824" t="b">
        <v>0</v>
      </c>
      <c r="M824" t="b">
        <v>0</v>
      </c>
      <c r="N824" t="inlineStr">
        <is>
          <t>alt</t>
        </is>
      </c>
      <c r="O824" t="n">
        <v>-60</v>
      </c>
      <c r="P824" t="n">
        <v>0.012856</v>
      </c>
      <c r="Q824" t="n">
        <v>40</v>
      </c>
      <c r="R824" t="n">
        <v>0.03333</v>
      </c>
      <c r="S824">
        <f>IMAGE("https://mitra.stanford.edu/kundaje/oak/projects/neuro-variants/variant_position/credible/roussos_2024/variant_figures/roussos_2024.childhood.GLU/rs7308051_count_position.png",4,220,900)</f>
        <v/>
      </c>
      <c r="T824">
        <f>IMAGE("https://mitra.stanford.edu/kundaje/oak/projects/neuro-variants/variant_position/credible/roussos_2024/variant_figures/roussos_2024.childhood.GLU/rs7308051_profile_position.png",4,220,900)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0.117692203</v>
      </c>
      <c r="G825" t="n">
        <v>0.0325839896193534</v>
      </c>
      <c r="H825" t="n">
        <v>0.020476651231107</v>
      </c>
      <c r="I825" t="n">
        <v>0.0927553452220972</v>
      </c>
      <c r="J825" t="n">
        <v>0.0214109841655762</v>
      </c>
      <c r="K825" t="n">
        <v>0.4829196758058052</v>
      </c>
      <c r="L825" t="b">
        <v>0</v>
      </c>
      <c r="M825" t="b">
        <v>0</v>
      </c>
      <c r="N825" t="inlineStr">
        <is>
          <t>alt</t>
        </is>
      </c>
      <c r="O825" t="n">
        <v>-10</v>
      </c>
      <c r="P825" t="n">
        <v>0.002014</v>
      </c>
      <c r="Q825" t="n">
        <v>50</v>
      </c>
      <c r="R825" t="n">
        <v>0.04102</v>
      </c>
      <c r="S825">
        <f>IMAGE("https://mitra.stanford.edu/kundaje/oak/projects/neuro-variants/variant_position/credible/roussos_2024/variant_figures/roussos_2024.childhood.GLU/rs6538188_count_position.png",4,220,900)</f>
        <v/>
      </c>
      <c r="T825">
        <f>IMAGE("https://mitra.stanford.edu/kundaje/oak/projects/neuro-variants/variant_position/credible/roussos_2024/variant_figures/roussos_2024.childhood.GLU/rs6538188_profile_position.png",4,220,900)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-0.02751832852</v>
      </c>
      <c r="G826" t="n">
        <v>0.350656036099346</v>
      </c>
      <c r="H826" t="n">
        <v>0.0138545980125507</v>
      </c>
      <c r="I826" t="n">
        <v>0.3102369688329928</v>
      </c>
      <c r="J826" t="n">
        <v>0.0119618407903818</v>
      </c>
      <c r="K826" t="n">
        <v>0.5650713703009117</v>
      </c>
      <c r="L826" t="b">
        <v>0</v>
      </c>
      <c r="M826" t="b">
        <v>0</v>
      </c>
      <c r="N826" t="inlineStr">
        <is>
          <t>ref</t>
        </is>
      </c>
      <c r="O826" t="n">
        <v>5</v>
      </c>
      <c r="P826" t="n">
        <v>0.000824</v>
      </c>
      <c r="Q826" t="n">
        <v>95</v>
      </c>
      <c r="R826" t="n">
        <v>0.1317</v>
      </c>
      <c r="S826">
        <f>IMAGE("https://mitra.stanford.edu/kundaje/oak/projects/neuro-variants/variant_position/credible/roussos_2024/variant_figures/roussos_2024.childhood.GLU/rs9634199_count_position.png",4,220,900)</f>
        <v/>
      </c>
      <c r="T826">
        <f>IMAGE("https://mitra.stanford.edu/kundaje/oak/projects/neuro-variants/variant_position/credible/roussos_2024/variant_figures/roussos_2024.childhood.GLU/rs9634199_profile_position.png",4,220,900)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0.291412882</v>
      </c>
      <c r="G827" t="n">
        <v>0.0021959988836913</v>
      </c>
      <c r="H827" t="n">
        <v>0.0347042601767768</v>
      </c>
      <c r="I827" t="n">
        <v>0.0137223178025759</v>
      </c>
      <c r="J827" t="n">
        <v>0.5846703823132475</v>
      </c>
      <c r="K827" t="n">
        <v>0.0286913341453936</v>
      </c>
      <c r="L827" t="b">
        <v>1</v>
      </c>
      <c r="M827" t="b">
        <v>1</v>
      </c>
      <c r="N827" t="inlineStr">
        <is>
          <t>alt</t>
        </is>
      </c>
      <c r="O827" t="n">
        <v>100</v>
      </c>
      <c r="P827" t="n">
        <v>0.004974</v>
      </c>
      <c r="Q827" t="n">
        <v>60</v>
      </c>
      <c r="R827" t="n">
        <v>0.2222</v>
      </c>
      <c r="S827">
        <f>IMAGE("https://mitra.stanford.edu/kundaje/oak/projects/neuro-variants/variant_position/credible/roussos_2024/variant_figures/roussos_2024.childhood.GLU/rs10858884_count_position.png",4,220,900)</f>
        <v/>
      </c>
      <c r="T827">
        <f>IMAGE("https://mitra.stanford.edu/kundaje/oak/projects/neuro-variants/variant_position/credible/roussos_2024/variant_figures/roussos_2024.childhood.GLU/rs10858884_profile_position.png",4,220,900)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0.1065206627999999</v>
      </c>
      <c r="G828" t="n">
        <v>0.0393115687821709</v>
      </c>
      <c r="H828" t="n">
        <v>0.0155700112294736</v>
      </c>
      <c r="I828" t="n">
        <v>0.2227624874149266</v>
      </c>
      <c r="J828" t="n">
        <v>0.2130940484407676</v>
      </c>
      <c r="K828" t="n">
        <v>0.1405124717699772</v>
      </c>
      <c r="L828" t="b">
        <v>0</v>
      </c>
      <c r="M828" t="b">
        <v>0</v>
      </c>
      <c r="N828" t="inlineStr">
        <is>
          <t>alt</t>
        </is>
      </c>
      <c r="O828" t="n">
        <v>-55</v>
      </c>
      <c r="P828" t="n">
        <v>0.03644</v>
      </c>
      <c r="Q828" t="n">
        <v>70</v>
      </c>
      <c r="R828" t="n">
        <v>0.01123</v>
      </c>
      <c r="S828">
        <f>IMAGE("https://mitra.stanford.edu/kundaje/oak/projects/neuro-variants/variant_position/credible/roussos_2024/variant_figures/roussos_2024.childhood.GLU/rs10777173_count_position.png",4,220,900)</f>
        <v/>
      </c>
      <c r="T828">
        <f>IMAGE("https://mitra.stanford.edu/kundaje/oak/projects/neuro-variants/variant_position/credible/roussos_2024/variant_figures/roussos_2024.childhood.GLU/rs10777173_profile_position.png",4,220,900)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-0.1881675803999999</v>
      </c>
      <c r="G829" t="n">
        <v>0.0145262221273019</v>
      </c>
      <c r="H829" t="n">
        <v>0.027532887473177</v>
      </c>
      <c r="I829" t="n">
        <v>0.0392598055390736</v>
      </c>
      <c r="J829" t="n">
        <v>0.0458415321375956</v>
      </c>
      <c r="K829" t="n">
        <v>0.3707856315850066</v>
      </c>
      <c r="L829" t="b">
        <v>1</v>
      </c>
      <c r="M829" t="b">
        <v>0</v>
      </c>
      <c r="N829" t="inlineStr">
        <is>
          <t>ref</t>
        </is>
      </c>
      <c r="O829" t="n">
        <v>20</v>
      </c>
      <c r="P829" t="n">
        <v>0.000966</v>
      </c>
      <c r="Q829" t="n">
        <v>-55</v>
      </c>
      <c r="R829" t="n">
        <v>0.05157</v>
      </c>
      <c r="S829">
        <f>IMAGE("https://mitra.stanford.edu/kundaje/oak/projects/neuro-variants/variant_position/credible/roussos_2024/variant_figures/roussos_2024.childhood.GLU/rs11105326_count_position.png",4,220,900)</f>
        <v/>
      </c>
      <c r="T829">
        <f>IMAGE("https://mitra.stanford.edu/kundaje/oak/projects/neuro-variants/variant_position/credible/roussos_2024/variant_figures/roussos_2024.childhood.GLU/rs11105326_profile_position.png",4,220,900)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0.0597771569999999</v>
      </c>
      <c r="G830" t="n">
        <v>0.1263821737576473</v>
      </c>
      <c r="H830" t="n">
        <v>0.0124816781663363</v>
      </c>
      <c r="I830" t="n">
        <v>0.4087817706361056</v>
      </c>
      <c r="J830" t="n">
        <v>0.0176816013681271</v>
      </c>
      <c r="K830" t="n">
        <v>0.5139219920995003</v>
      </c>
      <c r="L830" t="b">
        <v>0</v>
      </c>
      <c r="M830" t="b">
        <v>0</v>
      </c>
      <c r="N830" t="inlineStr">
        <is>
          <t>alt</t>
        </is>
      </c>
      <c r="O830" t="n">
        <v>75</v>
      </c>
      <c r="P830" t="n">
        <v>0.006493</v>
      </c>
      <c r="Q830" t="n">
        <v>100</v>
      </c>
      <c r="R830" t="n">
        <v>0.2644</v>
      </c>
      <c r="S830">
        <f>IMAGE("https://mitra.stanford.edu/kundaje/oak/projects/neuro-variants/variant_position/credible/roussos_2024/variant_figures/roussos_2024.childhood.GLU/rs77966649_count_position.png",4,220,900)</f>
        <v/>
      </c>
      <c r="T830">
        <f>IMAGE("https://mitra.stanford.edu/kundaje/oak/projects/neuro-variants/variant_position/credible/roussos_2024/variant_figures/roussos_2024.childhood.GLU/rs77966649_profile_position.png",4,220,900)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-0.0959757586</v>
      </c>
      <c r="G831" t="n">
        <v>0.0540297244577725</v>
      </c>
      <c r="H831" t="n">
        <v>0.0507799175451071</v>
      </c>
      <c r="I831" t="n">
        <v>0.0026823844996924</v>
      </c>
      <c r="J831" t="n">
        <v>0.164428693582783</v>
      </c>
      <c r="K831" t="n">
        <v>0.1765515360127342</v>
      </c>
      <c r="L831" t="b">
        <v>1</v>
      </c>
      <c r="M831" t="b">
        <v>1</v>
      </c>
      <c r="N831" t="inlineStr">
        <is>
          <t>ref</t>
        </is>
      </c>
      <c r="O831" t="n">
        <v>-80</v>
      </c>
      <c r="P831" t="n">
        <v>0.0108</v>
      </c>
      <c r="Q831" t="n">
        <v>-95</v>
      </c>
      <c r="R831" t="n">
        <v>0.1936</v>
      </c>
      <c r="S831">
        <f>IMAGE("https://mitra.stanford.edu/kundaje/oak/projects/neuro-variants/variant_position/credible/roussos_2024/variant_figures/roussos_2024.childhood.GLU/rs4240748_count_position.png",4,220,900)</f>
        <v/>
      </c>
      <c r="T831">
        <f>IMAGE("https://mitra.stanford.edu/kundaje/oak/projects/neuro-variants/variant_position/credible/roussos_2024/variant_figures/roussos_2024.childhood.GLU/rs4240748_profile_position.png",4,220,900)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0.00109961574</v>
      </c>
      <c r="G832" t="n">
        <v>0.8230403277864993</v>
      </c>
      <c r="H832" t="n">
        <v>0.0268574877977703</v>
      </c>
      <c r="I832" t="n">
        <v>0.03255110509613</v>
      </c>
      <c r="J832" t="n">
        <v>0.030871459919437</v>
      </c>
      <c r="K832" t="n">
        <v>0.4213950387438974</v>
      </c>
      <c r="L832" t="b">
        <v>0</v>
      </c>
      <c r="M832" t="b">
        <v>0</v>
      </c>
      <c r="N832" t="inlineStr">
        <is>
          <t>alt</t>
        </is>
      </c>
      <c r="O832" t="n">
        <v>65</v>
      </c>
      <c r="P832" t="n">
        <v>0.0176</v>
      </c>
      <c r="Q832" t="n">
        <v>100</v>
      </c>
      <c r="R832" t="n">
        <v>0.2302</v>
      </c>
      <c r="S832">
        <f>IMAGE("https://mitra.stanford.edu/kundaje/oak/projects/neuro-variants/variant_position/credible/roussos_2024/variant_figures/roussos_2024.childhood.GLU/rs63482062_count_position.png",4,220,900)</f>
        <v/>
      </c>
      <c r="T832">
        <f>IMAGE("https://mitra.stanford.edu/kundaje/oak/projects/neuro-variants/variant_position/credible/roussos_2024/variant_figures/roussos_2024.childhood.GLU/rs63482062_profile_position.png",4,220,900)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-0.01641170684</v>
      </c>
      <c r="G833" t="n">
        <v>0.5429905229509767</v>
      </c>
      <c r="H833" t="n">
        <v>0.0132344013406077</v>
      </c>
      <c r="I833" t="n">
        <v>0.3514067340736219</v>
      </c>
      <c r="J833" t="n">
        <v>0.1026085075257295</v>
      </c>
      <c r="K833" t="n">
        <v>0.2436748029837259</v>
      </c>
      <c r="L833" t="b">
        <v>0</v>
      </c>
      <c r="M833" t="b">
        <v>0</v>
      </c>
      <c r="N833" t="inlineStr">
        <is>
          <t>ref</t>
        </is>
      </c>
      <c r="O833" t="n">
        <v>-25</v>
      </c>
      <c r="P833" t="n">
        <v>0.004757</v>
      </c>
      <c r="Q833" t="n">
        <v>100</v>
      </c>
      <c r="R833" t="n">
        <v>0.06365999999999999</v>
      </c>
      <c r="S833">
        <f>IMAGE("https://mitra.stanford.edu/kundaje/oak/projects/neuro-variants/variant_position/credible/roussos_2024/variant_figures/roussos_2024.childhood.GLU/rs10777617_count_position.png",4,220,900)</f>
        <v/>
      </c>
      <c r="T833">
        <f>IMAGE("https://mitra.stanford.edu/kundaje/oak/projects/neuro-variants/variant_position/credible/roussos_2024/variant_figures/roussos_2024.childhood.GLU/rs10777617_profile_position.png",4,220,900)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-0.1220264306</v>
      </c>
      <c r="G834" t="n">
        <v>0.0296364691112794</v>
      </c>
      <c r="H834" t="n">
        <v>0.0191786893777425</v>
      </c>
      <c r="I834" t="n">
        <v>0.1211482406135002</v>
      </c>
      <c r="J834" t="n">
        <v>0.0411169604499984</v>
      </c>
      <c r="K834" t="n">
        <v>0.3793394813739836</v>
      </c>
      <c r="L834" t="b">
        <v>0</v>
      </c>
      <c r="M834" t="b">
        <v>0</v>
      </c>
      <c r="N834" t="inlineStr">
        <is>
          <t>ref</t>
        </is>
      </c>
      <c r="O834" t="n">
        <v>0</v>
      </c>
      <c r="P834" t="n">
        <v>0</v>
      </c>
      <c r="Q834" t="n">
        <v>-5</v>
      </c>
      <c r="R834" t="n">
        <v>0.000977</v>
      </c>
      <c r="S834">
        <f>IMAGE("https://mitra.stanford.edu/kundaje/oak/projects/neuro-variants/variant_position/credible/roussos_2024/variant_figures/roussos_2024.childhood.GLU/rs7311279_count_position.png",4,220,900)</f>
        <v/>
      </c>
      <c r="T834">
        <f>IMAGE("https://mitra.stanford.edu/kundaje/oak/projects/neuro-variants/variant_position/credible/roussos_2024/variant_figures/roussos_2024.childhood.GLU/rs7311279_profile_position.png",4,220,900)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0.201979362</v>
      </c>
      <c r="G835" t="n">
        <v>0.0087957408324453</v>
      </c>
      <c r="H835" t="n">
        <v>0.0232160660668865</v>
      </c>
      <c r="I835" t="n">
        <v>0.0601737281103584</v>
      </c>
      <c r="J835" t="n">
        <v>0.0795326939124521</v>
      </c>
      <c r="K835" t="n">
        <v>0.2802286355925744</v>
      </c>
      <c r="L835" t="b">
        <v>1</v>
      </c>
      <c r="M835" t="b">
        <v>1</v>
      </c>
      <c r="N835" t="inlineStr">
        <is>
          <t>alt</t>
        </is>
      </c>
      <c r="O835" t="n">
        <v>-60</v>
      </c>
      <c r="P835" t="n">
        <v>0.01059</v>
      </c>
      <c r="Q835" t="n">
        <v>-80</v>
      </c>
      <c r="R835" t="n">
        <v>0.05273</v>
      </c>
      <c r="S835">
        <f>IMAGE("https://mitra.stanford.edu/kundaje/oak/projects/neuro-variants/variant_position/credible/roussos_2024/variant_figures/roussos_2024.childhood.GLU/rs7311211_count_position.png",4,220,900)</f>
        <v/>
      </c>
      <c r="T835">
        <f>IMAGE("https://mitra.stanford.edu/kundaje/oak/projects/neuro-variants/variant_position/credible/roussos_2024/variant_figures/roussos_2024.childhood.GLU/rs7311211_profile_position.png",4,220,900)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0.099567432</v>
      </c>
      <c r="G836" t="n">
        <v>0.045236327502941</v>
      </c>
      <c r="H836" t="n">
        <v>0.0174917594447727</v>
      </c>
      <c r="I836" t="n">
        <v>0.1531925602812999</v>
      </c>
      <c r="J836" t="n">
        <v>0.078314978313948</v>
      </c>
      <c r="K836" t="n">
        <v>0.2876191261289892</v>
      </c>
      <c r="L836" t="b">
        <v>0</v>
      </c>
      <c r="M836" t="b">
        <v>0</v>
      </c>
      <c r="N836" t="inlineStr">
        <is>
          <t>alt</t>
        </is>
      </c>
      <c r="O836" t="n">
        <v>80</v>
      </c>
      <c r="P836" t="n">
        <v>0.013214</v>
      </c>
      <c r="Q836" t="n">
        <v>0</v>
      </c>
      <c r="R836" t="n">
        <v>0</v>
      </c>
      <c r="S836">
        <f>IMAGE("https://mitra.stanford.edu/kundaje/oak/projects/neuro-variants/variant_position/credible/roussos_2024/variant_figures/roussos_2024.childhood.GLU/rs11835590_count_position.png",4,220,900)</f>
        <v/>
      </c>
      <c r="T836">
        <f>IMAGE("https://mitra.stanford.edu/kundaje/oak/projects/neuro-variants/variant_position/credible/roussos_2024/variant_figures/roussos_2024.childhood.GLU/rs11835590_profile_position.png",4,220,900)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-0.037355029</v>
      </c>
      <c r="G837" t="n">
        <v>0.2683647627701806</v>
      </c>
      <c r="H837" t="n">
        <v>0.0273225288985388</v>
      </c>
      <c r="I837" t="n">
        <v>0.0309957727712284</v>
      </c>
      <c r="J837" t="n">
        <v>0.0471653600090658</v>
      </c>
      <c r="K837" t="n">
        <v>0.3589805687949455</v>
      </c>
      <c r="L837" t="b">
        <v>0</v>
      </c>
      <c r="M837" t="b">
        <v>0</v>
      </c>
      <c r="N837" t="inlineStr">
        <is>
          <t>ref</t>
        </is>
      </c>
      <c r="O837" t="n">
        <v>-95</v>
      </c>
      <c r="P837" t="n">
        <v>0.00911</v>
      </c>
      <c r="Q837" t="n">
        <v>-15</v>
      </c>
      <c r="R837" t="n">
        <v>0.02463</v>
      </c>
      <c r="S837">
        <f>IMAGE("https://mitra.stanford.edu/kundaje/oak/projects/neuro-variants/variant_position/credible/roussos_2024/variant_figures/roussos_2024.childhood.GLU/rs1319893_count_position.png",4,220,900)</f>
        <v/>
      </c>
      <c r="T837">
        <f>IMAGE("https://mitra.stanford.edu/kundaje/oak/projects/neuro-variants/variant_position/credible/roussos_2024/variant_figures/roussos_2024.childhood.GLU/rs1319893_profile_position.png",4,220,900)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-0.1025599763999999</v>
      </c>
      <c r="G838" t="n">
        <v>0.0473189339595481</v>
      </c>
      <c r="H838" t="n">
        <v>0.0140655155793781</v>
      </c>
      <c r="I838" t="n">
        <v>0.3076798257977203</v>
      </c>
      <c r="J838" t="n">
        <v>0.2455571924546962</v>
      </c>
      <c r="K838" t="n">
        <v>0.1221874320675743</v>
      </c>
      <c r="L838" t="b">
        <v>0</v>
      </c>
      <c r="M838" t="b">
        <v>0</v>
      </c>
      <c r="N838" t="inlineStr">
        <is>
          <t>ref</t>
        </is>
      </c>
      <c r="O838" t="n">
        <v>100</v>
      </c>
      <c r="P838" t="n">
        <v>0.005753</v>
      </c>
      <c r="Q838" t="n">
        <v>70</v>
      </c>
      <c r="R838" t="n">
        <v>0.04248</v>
      </c>
      <c r="S838">
        <f>IMAGE("https://mitra.stanford.edu/kundaje/oak/projects/neuro-variants/variant_position/credible/roussos_2024/variant_figures/roussos_2024.childhood.GLU/rs7311721_count_position.png",4,220,900)</f>
        <v/>
      </c>
      <c r="T838">
        <f>IMAGE("https://mitra.stanford.edu/kundaje/oak/projects/neuro-variants/variant_position/credible/roussos_2024/variant_figures/roussos_2024.childhood.GLU/rs7311721_profile_position.png",4,220,900)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-0.151171086</v>
      </c>
      <c r="G839" t="n">
        <v>0.0196329921127501</v>
      </c>
      <c r="H839" t="n">
        <v>0.0222490460056986</v>
      </c>
      <c r="I839" t="n">
        <v>0.07294781342374521</v>
      </c>
      <c r="J839" t="n">
        <v>0.0221599513737932</v>
      </c>
      <c r="K839" t="n">
        <v>0.4725699829586068</v>
      </c>
      <c r="L839" t="b">
        <v>1</v>
      </c>
      <c r="M839" t="b">
        <v>0</v>
      </c>
      <c r="N839" t="inlineStr">
        <is>
          <t>ref</t>
        </is>
      </c>
      <c r="O839" t="n">
        <v>-100</v>
      </c>
      <c r="P839" t="n">
        <v>0.015274</v>
      </c>
      <c r="Q839" t="n">
        <v>85</v>
      </c>
      <c r="R839" t="n">
        <v>0.05823</v>
      </c>
      <c r="S839">
        <f>IMAGE("https://mitra.stanford.edu/kundaje/oak/projects/neuro-variants/variant_position/credible/roussos_2024/variant_figures/roussos_2024.childhood.GLU/rs7955942_count_position.png",4,220,900)</f>
        <v/>
      </c>
      <c r="T839">
        <f>IMAGE("https://mitra.stanford.edu/kundaje/oak/projects/neuro-variants/variant_position/credible/roussos_2024/variant_figures/roussos_2024.childhood.GLU/rs7955942_profile_position.png",4,220,900)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0.5285505140000001</v>
      </c>
      <c r="G840" t="n">
        <v>0.0002026060008235</v>
      </c>
      <c r="H840" t="n">
        <v>0.07693420076792611</v>
      </c>
      <c r="I840" t="n">
        <v>0.0005590063772731</v>
      </c>
      <c r="J840" t="n">
        <v>0.0827706635622816</v>
      </c>
      <c r="K840" t="n">
        <v>0.2755580757294291</v>
      </c>
      <c r="L840" t="b">
        <v>1</v>
      </c>
      <c r="M840" t="b">
        <v>1</v>
      </c>
      <c r="N840" t="inlineStr">
        <is>
          <t>alt</t>
        </is>
      </c>
      <c r="O840" t="n">
        <v>90</v>
      </c>
      <c r="P840" t="n">
        <v>0.02869</v>
      </c>
      <c r="Q840" t="n">
        <v>-25</v>
      </c>
      <c r="R840" t="n">
        <v>0.006836</v>
      </c>
      <c r="S840">
        <f>IMAGE("https://mitra.stanford.edu/kundaje/oak/projects/neuro-variants/variant_position/credible/roussos_2024/variant_figures/roussos_2024.childhood.GLU/rs1814453_count_position.png",4,220,900)</f>
        <v/>
      </c>
      <c r="T840">
        <f>IMAGE("https://mitra.stanford.edu/kundaje/oak/projects/neuro-variants/variant_position/credible/roussos_2024/variant_figures/roussos_2024.childhood.GLU/rs1814453_profile_position.png",4,220,900)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0.0394781798</v>
      </c>
      <c r="G841" t="n">
        <v>0.2484792020043033</v>
      </c>
      <c r="H841" t="n">
        <v>0.0245124117219527</v>
      </c>
      <c r="I841" t="n">
        <v>0.0471244270906384</v>
      </c>
      <c r="J841" t="n">
        <v>0.2777658730567546</v>
      </c>
      <c r="K841" t="n">
        <v>0.1062724799820676</v>
      </c>
      <c r="L841" t="b">
        <v>0</v>
      </c>
      <c r="M841" t="b">
        <v>0</v>
      </c>
      <c r="N841" t="inlineStr">
        <is>
          <t>alt</t>
        </is>
      </c>
      <c r="O841" t="n">
        <v>75</v>
      </c>
      <c r="P841" t="n">
        <v>0.05347</v>
      </c>
      <c r="Q841" t="n">
        <v>95</v>
      </c>
      <c r="R841" t="n">
        <v>0.3206</v>
      </c>
      <c r="S841">
        <f>IMAGE("https://mitra.stanford.edu/kundaje/oak/projects/neuro-variants/variant_position/credible/roussos_2024/variant_figures/roussos_2024.childhood.GLU/rs3794799_count_position.png",4,220,900)</f>
        <v/>
      </c>
      <c r="T841">
        <f>IMAGE("https://mitra.stanford.edu/kundaje/oak/projects/neuro-variants/variant_position/credible/roussos_2024/variant_figures/roussos_2024.childhood.GLU/rs3794799_profile_position.png",4,220,900)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0.015275029</v>
      </c>
      <c r="G842" t="n">
        <v>0.5338614386429117</v>
      </c>
      <c r="H842" t="n">
        <v>0.0215755423011104</v>
      </c>
      <c r="I842" t="n">
        <v>0.0757438943991285</v>
      </c>
      <c r="J842" t="n">
        <v>0.0103948818857077</v>
      </c>
      <c r="K842" t="n">
        <v>0.5815297026817186</v>
      </c>
      <c r="L842" t="b">
        <v>0</v>
      </c>
      <c r="M842" t="b">
        <v>0</v>
      </c>
      <c r="N842" t="inlineStr">
        <is>
          <t>alt</t>
        </is>
      </c>
      <c r="O842" t="n">
        <v>-100</v>
      </c>
      <c r="P842" t="n">
        <v>0.00219</v>
      </c>
      <c r="Q842" t="n">
        <v>100</v>
      </c>
      <c r="R842" t="n">
        <v>0.07630000000000001</v>
      </c>
      <c r="S842">
        <f>IMAGE("https://mitra.stanford.edu/kundaje/oak/projects/neuro-variants/variant_position/credible/roussos_2024/variant_figures/roussos_2024.childhood.GLU/rs6419378_count_position.png",4,220,900)</f>
        <v/>
      </c>
      <c r="T842">
        <f>IMAGE("https://mitra.stanford.edu/kundaje/oak/projects/neuro-variants/variant_position/credible/roussos_2024/variant_figures/roussos_2024.childhood.GLU/rs6419378_profile_position.png",4,220,900)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0.01630000672</v>
      </c>
      <c r="G843" t="n">
        <v>0.5286932693288356</v>
      </c>
      <c r="H843" t="n">
        <v>0.0151442310118815</v>
      </c>
      <c r="I843" t="n">
        <v>0.2430651644037178</v>
      </c>
      <c r="J843" t="n">
        <v>0.0017966971267268</v>
      </c>
      <c r="K843" t="n">
        <v>0.7788820160678886</v>
      </c>
      <c r="L843" t="b">
        <v>0</v>
      </c>
      <c r="M843" t="b">
        <v>0</v>
      </c>
      <c r="N843" t="inlineStr">
        <is>
          <t>alt</t>
        </is>
      </c>
      <c r="O843" t="n">
        <v>60</v>
      </c>
      <c r="P843" t="n">
        <v>0.0003443</v>
      </c>
      <c r="Q843" t="n">
        <v>75</v>
      </c>
      <c r="R843" t="n">
        <v>0.08264000000000001</v>
      </c>
      <c r="S843">
        <f>IMAGE("https://mitra.stanford.edu/kundaje/oak/projects/neuro-variants/variant_position/credible/roussos_2024/variant_figures/roussos_2024.childhood.GLU/rs2372634_count_position.png",4,220,900)</f>
        <v/>
      </c>
      <c r="T843">
        <f>IMAGE("https://mitra.stanford.edu/kundaje/oak/projects/neuro-variants/variant_position/credible/roussos_2024/variant_figures/roussos_2024.childhood.GLU/rs2372634_profile_position.png",4,220,900)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-0.0127110956</v>
      </c>
      <c r="G844" t="n">
        <v>0.6113284814624388</v>
      </c>
      <c r="H844" t="n">
        <v>0.0158421914161999</v>
      </c>
      <c r="I844" t="n">
        <v>0.2115473519459635</v>
      </c>
      <c r="J844" t="n">
        <v>0.0445609733483057</v>
      </c>
      <c r="K844" t="n">
        <v>0.372007250758766</v>
      </c>
      <c r="L844" t="b">
        <v>0</v>
      </c>
      <c r="M844" t="b">
        <v>0</v>
      </c>
      <c r="N844" t="inlineStr">
        <is>
          <t>ref</t>
        </is>
      </c>
      <c r="O844" t="n">
        <v>-70</v>
      </c>
      <c r="P844" t="n">
        <v>0.003658</v>
      </c>
      <c r="Q844" t="n">
        <v>85</v>
      </c>
      <c r="R844" t="n">
        <v>0.1304</v>
      </c>
      <c r="S844">
        <f>IMAGE("https://mitra.stanford.edu/kundaje/oak/projects/neuro-variants/variant_position/credible/roussos_2024/variant_figures/roussos_2024.childhood.GLU/rs7975384_count_position.png",4,220,900)</f>
        <v/>
      </c>
      <c r="T844">
        <f>IMAGE("https://mitra.stanford.edu/kundaje/oak/projects/neuro-variants/variant_position/credible/roussos_2024/variant_figures/roussos_2024.childhood.GLU/rs7975384_profile_position.png",4,220,900)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0.08232411940000001</v>
      </c>
      <c r="G845" t="n">
        <v>0.06667500040641409</v>
      </c>
      <c r="H845" t="n">
        <v>0.013531679729242</v>
      </c>
      <c r="I845" t="n">
        <v>0.3216212132568829</v>
      </c>
      <c r="J845" t="n">
        <v>0.0007912060741547999</v>
      </c>
      <c r="K845" t="n">
        <v>0.8453976201025275</v>
      </c>
      <c r="L845" t="b">
        <v>0</v>
      </c>
      <c r="M845" t="b">
        <v>0</v>
      </c>
      <c r="N845" t="inlineStr">
        <is>
          <t>alt</t>
        </is>
      </c>
      <c r="O845" t="n">
        <v>-100</v>
      </c>
      <c r="P845" t="n">
        <v>0.00314</v>
      </c>
      <c r="Q845" t="n">
        <v>15</v>
      </c>
      <c r="R845" t="n">
        <v>0.01788</v>
      </c>
      <c r="S845">
        <f>IMAGE("https://mitra.stanford.edu/kundaje/oak/projects/neuro-variants/variant_position/credible/roussos_2024/variant_figures/roussos_2024.childhood.GLU/rs2372636_count_position.png",4,220,900)</f>
        <v/>
      </c>
      <c r="T845">
        <f>IMAGE("https://mitra.stanford.edu/kundaje/oak/projects/neuro-variants/variant_position/credible/roussos_2024/variant_figures/roussos_2024.childhood.GLU/rs2372636_profile_position.png",4,220,900)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-0.0443878311999999</v>
      </c>
      <c r="G846" t="n">
        <v>0.2242465312873547</v>
      </c>
      <c r="H846" t="n">
        <v>0.0243980607783785</v>
      </c>
      <c r="I846" t="n">
        <v>0.0468238481487217</v>
      </c>
      <c r="J846" t="n">
        <v>0.1924639681869224</v>
      </c>
      <c r="K846" t="n">
        <v>0.1532183256487619</v>
      </c>
      <c r="L846" t="b">
        <v>0</v>
      </c>
      <c r="M846" t="b">
        <v>0</v>
      </c>
      <c r="N846" t="inlineStr">
        <is>
          <t>ref</t>
        </is>
      </c>
      <c r="O846" t="n">
        <v>-95</v>
      </c>
      <c r="P846" t="n">
        <v>0.0221</v>
      </c>
      <c r="Q846" t="n">
        <v>-100</v>
      </c>
      <c r="R846" t="n">
        <v>0.3062</v>
      </c>
      <c r="S846">
        <f>IMAGE("https://mitra.stanford.edu/kundaje/oak/projects/neuro-variants/variant_position/credible/roussos_2024/variant_figures/roussos_2024.childhood.GLU/rs2372638_count_position.png",4,220,900)</f>
        <v/>
      </c>
      <c r="T846">
        <f>IMAGE("https://mitra.stanford.edu/kundaje/oak/projects/neuro-variants/variant_position/credible/roussos_2024/variant_figures/roussos_2024.childhood.GLU/rs2372638_profile_position.png",4,220,900)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-0.00339181735</v>
      </c>
      <c r="G847" t="n">
        <v>0.8731460940896151</v>
      </c>
      <c r="H847" t="n">
        <v>0.0258950719212255</v>
      </c>
      <c r="I847" t="n">
        <v>0.037710883986472</v>
      </c>
      <c r="J847" t="n">
        <v>0.0742641680488733</v>
      </c>
      <c r="K847" t="n">
        <v>0.29475666393831</v>
      </c>
      <c r="L847" t="b">
        <v>0</v>
      </c>
      <c r="M847" t="b">
        <v>0</v>
      </c>
      <c r="N847" t="inlineStr">
        <is>
          <t>ref</t>
        </is>
      </c>
      <c r="O847" t="n">
        <v>15</v>
      </c>
      <c r="P847" t="n">
        <v>0.00222</v>
      </c>
      <c r="Q847" t="n">
        <v>-100</v>
      </c>
      <c r="R847" t="n">
        <v>0.077</v>
      </c>
      <c r="S847">
        <f>IMAGE("https://mitra.stanford.edu/kundaje/oak/projects/neuro-variants/variant_position/credible/roussos_2024/variant_figures/roussos_2024.childhood.GLU/rs7137868_count_position.png",4,220,900)</f>
        <v/>
      </c>
      <c r="T847">
        <f>IMAGE("https://mitra.stanford.edu/kundaje/oak/projects/neuro-variants/variant_position/credible/roussos_2024/variant_figures/roussos_2024.childhood.GLU/rs7137868_profile_position.png",4,220,900)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-0.00608578234</v>
      </c>
      <c r="G848" t="n">
        <v>0.775748680914043</v>
      </c>
      <c r="H848" t="n">
        <v>0.0265818929236171</v>
      </c>
      <c r="I848" t="n">
        <v>0.0337211116780285</v>
      </c>
      <c r="J848" t="n">
        <v>0.1462958575004893</v>
      </c>
      <c r="K848" t="n">
        <v>0.1906323761228447</v>
      </c>
      <c r="L848" t="b">
        <v>0</v>
      </c>
      <c r="M848" t="b">
        <v>0</v>
      </c>
      <c r="N848" t="inlineStr">
        <is>
          <t>ref</t>
        </is>
      </c>
      <c r="O848" t="n">
        <v>-90</v>
      </c>
      <c r="P848" t="n">
        <v>0.00609</v>
      </c>
      <c r="Q848" t="n">
        <v>100</v>
      </c>
      <c r="R848" t="n">
        <v>0.0643</v>
      </c>
      <c r="S848">
        <f>IMAGE("https://mitra.stanford.edu/kundaje/oak/projects/neuro-variants/variant_position/credible/roussos_2024/variant_figures/roussos_2024.childhood.GLU/rs6538897_count_position.png",4,220,900)</f>
        <v/>
      </c>
      <c r="T848">
        <f>IMAGE("https://mitra.stanford.edu/kundaje/oak/projects/neuro-variants/variant_position/credible/roussos_2024/variant_figures/roussos_2024.childhood.GLU/rs6538897_profile_position.png",4,220,900)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-0.1633005299999999</v>
      </c>
      <c r="G849" t="n">
        <v>0.013754250169093</v>
      </c>
      <c r="H849" t="n">
        <v>0.0242148548357937</v>
      </c>
      <c r="I849" t="n">
        <v>0.0513238373851485</v>
      </c>
      <c r="J849" t="n">
        <v>0.2245088444064408</v>
      </c>
      <c r="K849" t="n">
        <v>0.1326452203180395</v>
      </c>
      <c r="L849" t="b">
        <v>1</v>
      </c>
      <c r="M849" t="b">
        <v>0</v>
      </c>
      <c r="N849" t="inlineStr">
        <is>
          <t>ref</t>
        </is>
      </c>
      <c r="O849" t="n">
        <v>100</v>
      </c>
      <c r="P849" t="n">
        <v>0.04932</v>
      </c>
      <c r="Q849" t="n">
        <v>100</v>
      </c>
      <c r="R849" t="n">
        <v>0.11304</v>
      </c>
      <c r="S849">
        <f>IMAGE("https://mitra.stanford.edu/kundaje/oak/projects/neuro-variants/variant_position/credible/roussos_2024/variant_figures/roussos_2024.childhood.GLU/rs7299393_count_position.png",4,220,900)</f>
        <v/>
      </c>
      <c r="T849">
        <f>IMAGE("https://mitra.stanford.edu/kundaje/oak/projects/neuro-variants/variant_position/credible/roussos_2024/variant_figures/roussos_2024.childhood.GLU/rs7299393_profile_position.png",4,220,900)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-0.0587553158</v>
      </c>
      <c r="G850" t="n">
        <v>0.1399382044854174</v>
      </c>
      <c r="H850" t="n">
        <v>0.0116737318178107</v>
      </c>
      <c r="I850" t="n">
        <v>0.4794416538606111</v>
      </c>
      <c r="J850" t="n">
        <v>0.3942936322334057</v>
      </c>
      <c r="K850" t="n">
        <v>0.0663133886802791</v>
      </c>
      <c r="L850" t="b">
        <v>0</v>
      </c>
      <c r="M850" t="b">
        <v>0</v>
      </c>
      <c r="N850" t="inlineStr">
        <is>
          <t>ref</t>
        </is>
      </c>
      <c r="O850" t="n">
        <v>-100</v>
      </c>
      <c r="P850" t="n">
        <v>0.09375</v>
      </c>
      <c r="Q850" t="n">
        <v>-100</v>
      </c>
      <c r="R850" t="n">
        <v>0.2827</v>
      </c>
      <c r="S850">
        <f>IMAGE("https://mitra.stanford.edu/kundaje/oak/projects/neuro-variants/variant_position/credible/roussos_2024/variant_figures/roussos_2024.childhood.GLU/rs10860390_count_position.png",4,220,900)</f>
        <v/>
      </c>
      <c r="T850">
        <f>IMAGE("https://mitra.stanford.edu/kundaje/oak/projects/neuro-variants/variant_position/credible/roussos_2024/variant_figures/roussos_2024.childhood.GLU/rs10860390_profile_position.png",4,220,900)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-0.07646873979999989</v>
      </c>
      <c r="G851" t="n">
        <v>0.09188386349290741</v>
      </c>
      <c r="H851" t="n">
        <v>0.022052160703537</v>
      </c>
      <c r="I851" t="n">
        <v>0.070091697954988</v>
      </c>
      <c r="J851" t="n">
        <v>0.0300112293570419</v>
      </c>
      <c r="K851" t="n">
        <v>0.4245494893293575</v>
      </c>
      <c r="L851" t="b">
        <v>0</v>
      </c>
      <c r="M851" t="b">
        <v>0</v>
      </c>
      <c r="N851" t="inlineStr">
        <is>
          <t>ref</t>
        </is>
      </c>
      <c r="O851" t="n">
        <v>-90</v>
      </c>
      <c r="P851" t="n">
        <v>0.02858</v>
      </c>
      <c r="Q851" t="n">
        <v>0</v>
      </c>
      <c r="R851" t="n">
        <v>0</v>
      </c>
      <c r="S851">
        <f>IMAGE("https://mitra.stanford.edu/kundaje/oak/projects/neuro-variants/variant_position/credible/roussos_2024/variant_figures/roussos_2024.childhood.GLU/rs10745841_count_position.png",4,220,900)</f>
        <v/>
      </c>
      <c r="T851">
        <f>IMAGE("https://mitra.stanford.edu/kundaje/oak/projects/neuro-variants/variant_position/credible/roussos_2024/variant_figures/roussos_2024.childhood.GLU/rs10745841_profile_position.png",4,220,900)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0.09332867959999989</v>
      </c>
      <c r="G852" t="n">
        <v>0.0554451596373657</v>
      </c>
      <c r="H852" t="n">
        <v>0.0205275489286578</v>
      </c>
      <c r="I852" t="n">
        <v>0.0935030495634976</v>
      </c>
      <c r="J852" t="n">
        <v>0.1627226554853863</v>
      </c>
      <c r="K852" t="n">
        <v>0.1781275684207887</v>
      </c>
      <c r="L852" t="b">
        <v>0</v>
      </c>
      <c r="M852" t="b">
        <v>0</v>
      </c>
      <c r="N852" t="inlineStr">
        <is>
          <t>alt</t>
        </is>
      </c>
      <c r="O852" t="n">
        <v>80</v>
      </c>
      <c r="P852" t="n">
        <v>0.003258</v>
      </c>
      <c r="Q852" t="n">
        <v>-100</v>
      </c>
      <c r="R852" t="n">
        <v>0.1519</v>
      </c>
      <c r="S852">
        <f>IMAGE("https://mitra.stanford.edu/kundaje/oak/projects/neuro-variants/variant_position/credible/roussos_2024/variant_figures/roussos_2024.childhood.GLU/rs80096598_count_position.png",4,220,900)</f>
        <v/>
      </c>
      <c r="T852">
        <f>IMAGE("https://mitra.stanford.edu/kundaje/oak/projects/neuro-variants/variant_position/credible/roussos_2024/variant_figures/roussos_2024.childhood.GLU/rs80096598_profile_position.png",4,220,900)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-0.0590766437999999</v>
      </c>
      <c r="G853" t="n">
        <v>0.1354289592975726</v>
      </c>
      <c r="H853" t="n">
        <v>0.0102440555783644</v>
      </c>
      <c r="I853" t="n">
        <v>0.6373045941910693</v>
      </c>
      <c r="J853" t="n">
        <v>0.0361708922702874</v>
      </c>
      <c r="K853" t="n">
        <v>0.397079954573282</v>
      </c>
      <c r="L853" t="b">
        <v>0</v>
      </c>
      <c r="M853" t="b">
        <v>0</v>
      </c>
      <c r="N853" t="inlineStr">
        <is>
          <t>ref</t>
        </is>
      </c>
      <c r="O853" t="n">
        <v>-95</v>
      </c>
      <c r="P853" t="n">
        <v>0.02278</v>
      </c>
      <c r="Q853" t="n">
        <v>-90</v>
      </c>
      <c r="R853" t="n">
        <v>0.07434</v>
      </c>
      <c r="S853">
        <f>IMAGE("https://mitra.stanford.edu/kundaje/oak/projects/neuro-variants/variant_position/credible/roussos_2024/variant_figures/roussos_2024.childhood.GLU/rs117856328_count_position.png",4,220,900)</f>
        <v/>
      </c>
      <c r="T853">
        <f>IMAGE("https://mitra.stanford.edu/kundaje/oak/projects/neuro-variants/variant_position/credible/roussos_2024/variant_figures/roussos_2024.childhood.GLU/rs117856328_profile_position.png",4,220,900)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-0.0004104112399999</v>
      </c>
      <c r="G854" t="n">
        <v>0.7793482656170883</v>
      </c>
      <c r="H854" t="n">
        <v>0.0087857570597571</v>
      </c>
      <c r="I854" t="n">
        <v>0.7969845431744893</v>
      </c>
      <c r="J854" t="n">
        <v>0.189424830271874</v>
      </c>
      <c r="K854" t="n">
        <v>0.155844633013199</v>
      </c>
      <c r="L854" t="b">
        <v>0</v>
      </c>
      <c r="M854" t="b">
        <v>0</v>
      </c>
      <c r="N854" t="inlineStr">
        <is>
          <t>ref</t>
        </is>
      </c>
      <c r="O854" t="n">
        <v>-100</v>
      </c>
      <c r="P854" t="n">
        <v>0.02284</v>
      </c>
      <c r="Q854" t="n">
        <v>100</v>
      </c>
      <c r="R854" t="n">
        <v>0.2395</v>
      </c>
      <c r="S854">
        <f>IMAGE("https://mitra.stanford.edu/kundaje/oak/projects/neuro-variants/variant_position/credible/roussos_2024/variant_figures/roussos_2024.childhood.GLU/rs77165492_count_position.png",4,220,900)</f>
        <v/>
      </c>
      <c r="T854">
        <f>IMAGE("https://mitra.stanford.edu/kundaje/oak/projects/neuro-variants/variant_position/credible/roussos_2024/variant_figures/roussos_2024.childhood.GLU/rs77165492_profile_position.png",4,220,900)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-0.0039627816</v>
      </c>
      <c r="G855" t="n">
        <v>0.7163555052772033</v>
      </c>
      <c r="H855" t="n">
        <v>0.0093837897462055</v>
      </c>
      <c r="I855" t="n">
        <v>0.7363132361057457</v>
      </c>
      <c r="J855" t="n">
        <v>0.0889941998825553</v>
      </c>
      <c r="K855" t="n">
        <v>0.2659327257131609</v>
      </c>
      <c r="L855" t="b">
        <v>0</v>
      </c>
      <c r="M855" t="b">
        <v>0</v>
      </c>
      <c r="N855" t="inlineStr">
        <is>
          <t>ref</t>
        </is>
      </c>
      <c r="O855" t="n">
        <v>-95</v>
      </c>
      <c r="P855" t="n">
        <v>0.003242</v>
      </c>
      <c r="Q855" t="n">
        <v>30</v>
      </c>
      <c r="R855" t="n">
        <v>0.05487</v>
      </c>
      <c r="S855">
        <f>IMAGE("https://mitra.stanford.edu/kundaje/oak/projects/neuro-variants/variant_position/credible/roussos_2024/variant_figures/roussos_2024.childhood.GLU/rs76093694_count_position.png",4,220,900)</f>
        <v/>
      </c>
      <c r="T855">
        <f>IMAGE("https://mitra.stanford.edu/kundaje/oak/projects/neuro-variants/variant_position/credible/roussos_2024/variant_figures/roussos_2024.childhood.GLU/rs76093694_profile_position.png",4,220,900)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0.00791855872</v>
      </c>
      <c r="G856" t="n">
        <v>0.7156824175716924</v>
      </c>
      <c r="H856" t="n">
        <v>0.0339304033793537</v>
      </c>
      <c r="I856" t="n">
        <v>0.0128635524514947</v>
      </c>
      <c r="J856" t="n">
        <v>0.000990037808936</v>
      </c>
      <c r="K856" t="n">
        <v>0.8239641888017675</v>
      </c>
      <c r="L856" t="b">
        <v>0</v>
      </c>
      <c r="M856" t="b">
        <v>0</v>
      </c>
      <c r="N856" t="inlineStr">
        <is>
          <t>alt</t>
        </is>
      </c>
      <c r="O856" t="n">
        <v>80</v>
      </c>
      <c r="P856" t="n">
        <v>0.01496</v>
      </c>
      <c r="Q856" t="n">
        <v>50</v>
      </c>
      <c r="R856" t="n">
        <v>0.02728</v>
      </c>
      <c r="S856">
        <f>IMAGE("https://mitra.stanford.edu/kundaje/oak/projects/neuro-variants/variant_position/credible/roussos_2024/variant_figures/roussos_2024.childhood.GLU/rs12582033_count_position.png",4,220,900)</f>
        <v/>
      </c>
      <c r="T856">
        <f>IMAGE("https://mitra.stanford.edu/kundaje/oak/projects/neuro-variants/variant_position/credible/roussos_2024/variant_figures/roussos_2024.childhood.GLU/rs12582033_profile_position.png",4,220,900)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-0.0850113012</v>
      </c>
      <c r="G857" t="n">
        <v>0.0785947337552434</v>
      </c>
      <c r="H857" t="n">
        <v>0.0121507196108135</v>
      </c>
      <c r="I857" t="n">
        <v>0.4372709215704791</v>
      </c>
      <c r="J857" t="n">
        <v>0.016821370805732</v>
      </c>
      <c r="K857" t="n">
        <v>0.525482230256492</v>
      </c>
      <c r="L857" t="b">
        <v>0</v>
      </c>
      <c r="M857" t="b">
        <v>0</v>
      </c>
      <c r="N857" t="inlineStr">
        <is>
          <t>ref</t>
        </is>
      </c>
      <c r="O857" t="n">
        <v>-100</v>
      </c>
      <c r="P857" t="n">
        <v>0.00604</v>
      </c>
      <c r="Q857" t="n">
        <v>70</v>
      </c>
      <c r="R857" t="n">
        <v>0.04535</v>
      </c>
      <c r="S857">
        <f>IMAGE("https://mitra.stanford.edu/kundaje/oak/projects/neuro-variants/variant_position/credible/roussos_2024/variant_figures/roussos_2024.childhood.GLU/rs77743764_count_position.png",4,220,900)</f>
        <v/>
      </c>
      <c r="T857">
        <f>IMAGE("https://mitra.stanford.edu/kundaje/oak/projects/neuro-variants/variant_position/credible/roussos_2024/variant_figures/roussos_2024.childhood.GLU/rs77743764_profile_position.png",4,220,900)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0.0573091856</v>
      </c>
      <c r="G858" t="n">
        <v>0.1380621945984081</v>
      </c>
      <c r="H858" t="n">
        <v>0.0224206160436794</v>
      </c>
      <c r="I858" t="n">
        <v>0.0685332094502295</v>
      </c>
      <c r="J858" t="n">
        <v>0.5126685691326609</v>
      </c>
      <c r="K858" t="n">
        <v>0.0399402365685161</v>
      </c>
      <c r="L858" t="b">
        <v>0</v>
      </c>
      <c r="M858" t="b">
        <v>0</v>
      </c>
      <c r="N858" t="inlineStr">
        <is>
          <t>alt</t>
        </is>
      </c>
      <c r="O858" t="n">
        <v>-75</v>
      </c>
      <c r="P858" t="n">
        <v>0.01381</v>
      </c>
      <c r="Q858" t="n">
        <v>-80</v>
      </c>
      <c r="R858" t="n">
        <v>0.0608</v>
      </c>
      <c r="S858">
        <f>IMAGE("https://mitra.stanford.edu/kundaje/oak/projects/neuro-variants/variant_position/credible/roussos_2024/variant_figures/roussos_2024.childhood.GLU/rs61939221_count_position.png",4,220,900)</f>
        <v/>
      </c>
      <c r="T858">
        <f>IMAGE("https://mitra.stanford.edu/kundaje/oak/projects/neuro-variants/variant_position/credible/roussos_2024/variant_figures/roussos_2024.childhood.GLU/rs61939221_profile_position.png",4,220,900)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-0.0044719643999999</v>
      </c>
      <c r="G859" t="n">
        <v>0.7999130887062963</v>
      </c>
      <c r="H859" t="n">
        <v>0.0337491017808141</v>
      </c>
      <c r="I859" t="n">
        <v>0.013100517945672</v>
      </c>
      <c r="J859" t="n">
        <v>0.0109192619530839</v>
      </c>
      <c r="K859" t="n">
        <v>0.5771574093173154</v>
      </c>
      <c r="L859" t="b">
        <v>1</v>
      </c>
      <c r="M859" t="b">
        <v>0</v>
      </c>
      <c r="N859" t="inlineStr">
        <is>
          <t>ref</t>
        </is>
      </c>
      <c r="O859" t="n">
        <v>45</v>
      </c>
      <c r="P859" t="n">
        <v>0.001831</v>
      </c>
      <c r="Q859" t="n">
        <v>-25</v>
      </c>
      <c r="R859" t="n">
        <v>0.0415</v>
      </c>
      <c r="S859">
        <f>IMAGE("https://mitra.stanford.edu/kundaje/oak/projects/neuro-variants/variant_position/credible/roussos_2024/variant_figures/roussos_2024.childhood.GLU/rs4609668_count_position.png",4,220,900)</f>
        <v/>
      </c>
      <c r="T859">
        <f>IMAGE("https://mitra.stanford.edu/kundaje/oak/projects/neuro-variants/variant_position/credible/roussos_2024/variant_figures/roussos_2024.childhood.GLU/rs4609668_profile_position.png",4,220,900)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-0.05459661</v>
      </c>
      <c r="G860" t="n">
        <v>0.1546105439150863</v>
      </c>
      <c r="H860" t="n">
        <v>0.0162887285553298</v>
      </c>
      <c r="I860" t="n">
        <v>0.1960729065470321</v>
      </c>
      <c r="J860" t="n">
        <v>0.0622982063935219</v>
      </c>
      <c r="K860" t="n">
        <v>0.3222197197624721</v>
      </c>
      <c r="L860" t="b">
        <v>0</v>
      </c>
      <c r="M860" t="b">
        <v>0</v>
      </c>
      <c r="N860" t="inlineStr">
        <is>
          <t>ref</t>
        </is>
      </c>
      <c r="O860" t="n">
        <v>-100</v>
      </c>
      <c r="P860" t="n">
        <v>0.005783</v>
      </c>
      <c r="Q860" t="n">
        <v>-35</v>
      </c>
      <c r="R860" t="n">
        <v>0.03418</v>
      </c>
      <c r="S860">
        <f>IMAGE("https://mitra.stanford.edu/kundaje/oak/projects/neuro-variants/variant_position/credible/roussos_2024/variant_figures/roussos_2024.childhood.GLU/rs4445711_count_position.png",4,220,900)</f>
        <v/>
      </c>
      <c r="T860">
        <f>IMAGE("https://mitra.stanford.edu/kundaje/oak/projects/neuro-variants/variant_position/credible/roussos_2024/variant_figures/roussos_2024.childhood.GLU/rs4445711_profile_position.png",4,220,900)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0.0154470626</v>
      </c>
      <c r="G861" t="n">
        <v>0.4938798080044662</v>
      </c>
      <c r="H861" t="n">
        <v>0.0126184182890462</v>
      </c>
      <c r="I861" t="n">
        <v>0.408310716980677</v>
      </c>
      <c r="J861" t="n">
        <v>0.0361832548651961</v>
      </c>
      <c r="K861" t="n">
        <v>0.3971463447855519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0.004486</v>
      </c>
      <c r="Q861" t="n">
        <v>20</v>
      </c>
      <c r="R861" t="n">
        <v>0.003967</v>
      </c>
      <c r="S861">
        <f>IMAGE("https://mitra.stanford.edu/kundaje/oak/projects/neuro-variants/variant_position/credible/roussos_2024/variant_figures/roussos_2024.childhood.GLU/rs1981936_count_position.png",4,220,900)</f>
        <v/>
      </c>
      <c r="T861">
        <f>IMAGE("https://mitra.stanford.edu/kundaje/oak/projects/neuro-variants/variant_position/credible/roussos_2024/variant_figures/roussos_2024.childhood.GLU/rs1981936_profile_position.png",4,220,900)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-0.104444796</v>
      </c>
      <c r="G862" t="n">
        <v>0.0422483182471689</v>
      </c>
      <c r="H862" t="n">
        <v>0.0129809704001425</v>
      </c>
      <c r="I862" t="n">
        <v>0.3821624499440348</v>
      </c>
      <c r="J862" t="n">
        <v>0.0332924680890518</v>
      </c>
      <c r="K862" t="n">
        <v>0.4119966059059876</v>
      </c>
      <c r="L862" t="b">
        <v>0</v>
      </c>
      <c r="M862" t="b">
        <v>0</v>
      </c>
      <c r="N862" t="inlineStr">
        <is>
          <t>ref</t>
        </is>
      </c>
      <c r="O862" t="n">
        <v>-15</v>
      </c>
      <c r="P862" t="n">
        <v>0.0005417</v>
      </c>
      <c r="Q862" t="n">
        <v>-30</v>
      </c>
      <c r="R862" t="n">
        <v>0.04688</v>
      </c>
      <c r="S862">
        <f>IMAGE("https://mitra.stanford.edu/kundaje/oak/projects/neuro-variants/variant_position/credible/roussos_2024/variant_figures/roussos_2024.childhood.GLU/rs7976025_count_position.png",4,220,900)</f>
        <v/>
      </c>
      <c r="T862">
        <f>IMAGE("https://mitra.stanford.edu/kundaje/oak/projects/neuro-variants/variant_position/credible/roussos_2024/variant_figures/roussos_2024.childhood.GLU/rs7976025_profile_position.png",4,220,900)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0.0641836922</v>
      </c>
      <c r="G863" t="n">
        <v>0.1176879739377631</v>
      </c>
      <c r="H863" t="n">
        <v>0.0110456191854434</v>
      </c>
      <c r="I863" t="n">
        <v>0.5396955518857346</v>
      </c>
      <c r="J863" t="n">
        <v>0.04791741786601</v>
      </c>
      <c r="K863" t="n">
        <v>0.3554307058690342</v>
      </c>
      <c r="L863" t="b">
        <v>0</v>
      </c>
      <c r="M863" t="b">
        <v>0</v>
      </c>
      <c r="N863" t="inlineStr">
        <is>
          <t>alt</t>
        </is>
      </c>
      <c r="O863" t="n">
        <v>-15</v>
      </c>
      <c r="P863" t="n">
        <v>0.000885</v>
      </c>
      <c r="Q863" t="n">
        <v>65</v>
      </c>
      <c r="R863" t="n">
        <v>0.09909999999999999</v>
      </c>
      <c r="S863">
        <f>IMAGE("https://mitra.stanford.edu/kundaje/oak/projects/neuro-variants/variant_position/credible/roussos_2024/variant_figures/roussos_2024.childhood.GLU/rs10778611_count_position.png",4,220,900)</f>
        <v/>
      </c>
      <c r="T863">
        <f>IMAGE("https://mitra.stanford.edu/kundaje/oak/projects/neuro-variants/variant_position/credible/roussos_2024/variant_figures/roussos_2024.childhood.GLU/rs10778611_profile_position.png",4,220,900)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-0.103635207</v>
      </c>
      <c r="G864" t="n">
        <v>0.0474312186245483</v>
      </c>
      <c r="H864" t="n">
        <v>0.0197593655217704</v>
      </c>
      <c r="I864" t="n">
        <v>0.1091835024308513</v>
      </c>
      <c r="J864" t="n">
        <v>0.5127437749183553</v>
      </c>
      <c r="K864" t="n">
        <v>0.0400259939241878</v>
      </c>
      <c r="L864" t="b">
        <v>0</v>
      </c>
      <c r="M864" t="b">
        <v>0</v>
      </c>
      <c r="N864" t="inlineStr">
        <is>
          <t>ref</t>
        </is>
      </c>
      <c r="O864" t="n">
        <v>-15</v>
      </c>
      <c r="P864" t="n">
        <v>0.0003662</v>
      </c>
      <c r="Q864" t="n">
        <v>-15</v>
      </c>
      <c r="R864" t="n">
        <v>0.02539</v>
      </c>
      <c r="S864">
        <f>IMAGE("https://mitra.stanford.edu/kundaje/oak/projects/neuro-variants/variant_position/credible/roussos_2024/variant_figures/roussos_2024.childhood.GLU/rs4964233_count_position.png",4,220,900)</f>
        <v/>
      </c>
      <c r="T864">
        <f>IMAGE("https://mitra.stanford.edu/kundaje/oak/projects/neuro-variants/variant_position/credible/roussos_2024/variant_figures/roussos_2024.childhood.GLU/rs4964233_profile_position.png",4,220,900)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0.0521502344</v>
      </c>
      <c r="G865" t="n">
        <v>0.1605826051968913</v>
      </c>
      <c r="H865" t="n">
        <v>0.009329872346013599</v>
      </c>
      <c r="I865" t="n">
        <v>0.7090018940621799</v>
      </c>
      <c r="J865" t="n">
        <v>0.2915161692439242</v>
      </c>
      <c r="K865" t="n">
        <v>0.1008539042490483</v>
      </c>
      <c r="L865" t="b">
        <v>0</v>
      </c>
      <c r="M865" t="b">
        <v>0</v>
      </c>
      <c r="N865" t="inlineStr">
        <is>
          <t>alt</t>
        </is>
      </c>
      <c r="O865" t="n">
        <v>100</v>
      </c>
      <c r="P865" t="n">
        <v>0.001129</v>
      </c>
      <c r="Q865" t="n">
        <v>90</v>
      </c>
      <c r="R865" t="n">
        <v>0.1122</v>
      </c>
      <c r="S865">
        <f>IMAGE("https://mitra.stanford.edu/kundaje/oak/projects/neuro-variants/variant_position/credible/roussos_2024/variant_figures/roussos_2024.childhood.GLU/rs2374969_count_position.png",4,220,900)</f>
        <v/>
      </c>
      <c r="T865">
        <f>IMAGE("https://mitra.stanford.edu/kundaje/oak/projects/neuro-variants/variant_position/credible/roussos_2024/variant_figures/roussos_2024.childhood.GLU/rs2374969_profile_position.png",4,220,900)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-0.002257821</v>
      </c>
      <c r="G866" t="n">
        <v>0.7436632242930463</v>
      </c>
      <c r="H866" t="n">
        <v>0.0076512977941988</v>
      </c>
      <c r="I866" t="n">
        <v>0.8911883471858738</v>
      </c>
      <c r="J866" t="n">
        <v>0.0290994879825274</v>
      </c>
      <c r="K866" t="n">
        <v>0.4417309680767863</v>
      </c>
      <c r="L866" t="b">
        <v>0</v>
      </c>
      <c r="M866" t="b">
        <v>0</v>
      </c>
      <c r="N866" t="inlineStr">
        <is>
          <t>ref</t>
        </is>
      </c>
      <c r="O866" t="n">
        <v>-10</v>
      </c>
      <c r="P866" t="n">
        <v>0.0016575</v>
      </c>
      <c r="Q866" t="n">
        <v>100</v>
      </c>
      <c r="R866" t="n">
        <v>0.01072</v>
      </c>
      <c r="S866">
        <f>IMAGE("https://mitra.stanford.edu/kundaje/oak/projects/neuro-variants/variant_position/credible/roussos_2024/variant_figures/roussos_2024.childhood.GLU/rs10778612_count_position.png",4,220,900)</f>
        <v/>
      </c>
      <c r="T866">
        <f>IMAGE("https://mitra.stanford.edu/kundaje/oak/projects/neuro-variants/variant_position/credible/roussos_2024/variant_figures/roussos_2024.childhood.GLU/rs10778612_profile_position.png",4,220,900)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0.0960664719999999</v>
      </c>
      <c r="G867" t="n">
        <v>0.0471085871464465</v>
      </c>
      <c r="H867" t="n">
        <v>0.0124425407899327</v>
      </c>
      <c r="I867" t="n">
        <v>0.4099909861756434</v>
      </c>
      <c r="J867" t="n">
        <v>0.026409593373649</v>
      </c>
      <c r="K867" t="n">
        <v>0.4505624368831402</v>
      </c>
      <c r="L867" t="b">
        <v>0</v>
      </c>
      <c r="M867" t="b">
        <v>0</v>
      </c>
      <c r="N867" t="inlineStr">
        <is>
          <t>alt</t>
        </is>
      </c>
      <c r="O867" t="n">
        <v>90</v>
      </c>
      <c r="P867" t="n">
        <v>0.01192</v>
      </c>
      <c r="Q867" t="n">
        <v>-75</v>
      </c>
      <c r="R867" t="n">
        <v>0.1226</v>
      </c>
      <c r="S867">
        <f>IMAGE("https://mitra.stanford.edu/kundaje/oak/projects/neuro-variants/variant_position/credible/roussos_2024/variant_figures/roussos_2024.childhood.GLU/rs10778613_count_position.png",4,220,900)</f>
        <v/>
      </c>
      <c r="T867">
        <f>IMAGE("https://mitra.stanford.edu/kundaje/oak/projects/neuro-variants/variant_position/credible/roussos_2024/variant_figures/roussos_2024.childhood.GLU/rs10778613_profile_position.png",4,220,900)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-0.0511038614</v>
      </c>
      <c r="G868" t="n">
        <v>0.1735412082390896</v>
      </c>
      <c r="H868" t="n">
        <v>0.0128156641996954</v>
      </c>
      <c r="I868" t="n">
        <v>0.3848259085596597</v>
      </c>
      <c r="J868" t="n">
        <v>0.0070549208278817</v>
      </c>
      <c r="K868" t="n">
        <v>0.6329259680358176</v>
      </c>
      <c r="L868" t="b">
        <v>0</v>
      </c>
      <c r="M868" t="b">
        <v>0</v>
      </c>
      <c r="N868" t="inlineStr">
        <is>
          <t>ref</t>
        </is>
      </c>
      <c r="O868" t="n">
        <v>90</v>
      </c>
      <c r="P868" t="n">
        <v>0.0012245</v>
      </c>
      <c r="Q868" t="n">
        <v>-20</v>
      </c>
      <c r="R868" t="n">
        <v>0.02664</v>
      </c>
      <c r="S868">
        <f>IMAGE("https://mitra.stanford.edu/kundaje/oak/projects/neuro-variants/variant_position/credible/roussos_2024/variant_figures/roussos_2024.childhood.GLU/rs2162290_count_position.png",4,220,900)</f>
        <v/>
      </c>
      <c r="T868">
        <f>IMAGE("https://mitra.stanford.edu/kundaje/oak/projects/neuro-variants/variant_position/credible/roussos_2024/variant_figures/roussos_2024.childhood.GLU/rs2162290_profile_position.png",4,220,900)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-0.1109020452</v>
      </c>
      <c r="G869" t="n">
        <v>0.0371935462616532</v>
      </c>
      <c r="H869" t="n">
        <v>0.022628417398928</v>
      </c>
      <c r="I869" t="n">
        <v>0.0652045830809662</v>
      </c>
      <c r="J869" t="n">
        <v>0.3314236558253577</v>
      </c>
      <c r="K869" t="n">
        <v>0.08491525097873499</v>
      </c>
      <c r="L869" t="b">
        <v>0</v>
      </c>
      <c r="M869" t="b">
        <v>0</v>
      </c>
      <c r="N869" t="inlineStr">
        <is>
          <t>ref</t>
        </is>
      </c>
      <c r="O869" t="n">
        <v>-40</v>
      </c>
      <c r="P869" t="n">
        <v>0.000778</v>
      </c>
      <c r="Q869" t="n">
        <v>-90</v>
      </c>
      <c r="R869" t="n">
        <v>0.0487</v>
      </c>
      <c r="S869">
        <f>IMAGE("https://mitra.stanford.edu/kundaje/oak/projects/neuro-variants/variant_position/credible/roussos_2024/variant_figures/roussos_2024.childhood.GLU/rs1365309_count_position.png",4,220,900)</f>
        <v/>
      </c>
      <c r="T869">
        <f>IMAGE("https://mitra.stanford.edu/kundaje/oak/projects/neuro-variants/variant_position/credible/roussos_2024/variant_figures/roussos_2024.childhood.GLU/rs1365309_profile_position.png",4,220,900)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0.234956152</v>
      </c>
      <c r="G870" t="n">
        <v>0.0048289027325638</v>
      </c>
      <c r="H870" t="n">
        <v>0.0293830635586606</v>
      </c>
      <c r="I870" t="n">
        <v>0.0238699288386788</v>
      </c>
      <c r="J870" t="n">
        <v>0.34561488456427</v>
      </c>
      <c r="K870" t="n">
        <v>0.08057209127419281</v>
      </c>
      <c r="L870" t="b">
        <v>1</v>
      </c>
      <c r="M870" t="b">
        <v>1</v>
      </c>
      <c r="N870" t="inlineStr">
        <is>
          <t>alt</t>
        </is>
      </c>
      <c r="O870" t="n">
        <v>20</v>
      </c>
      <c r="P870" t="n">
        <v>0.001617</v>
      </c>
      <c r="Q870" t="n">
        <v>-5</v>
      </c>
      <c r="R870" t="n">
        <v>0.004395</v>
      </c>
      <c r="S870">
        <f>IMAGE("https://mitra.stanford.edu/kundaje/oak/projects/neuro-variants/variant_position/credible/roussos_2024/variant_figures/roussos_2024.childhood.GLU/rs1106752_count_position.png",4,220,900)</f>
        <v/>
      </c>
      <c r="T870">
        <f>IMAGE("https://mitra.stanford.edu/kundaje/oak/projects/neuro-variants/variant_position/credible/roussos_2024/variant_figures/roussos_2024.childhood.GLU/rs1106752_profile_position.png",4,220,900)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0.1132092711999999</v>
      </c>
      <c r="G871" t="n">
        <v>0.034279247678843</v>
      </c>
      <c r="H871" t="n">
        <v>0.0293495911865101</v>
      </c>
      <c r="I871" t="n">
        <v>0.0244497143491643</v>
      </c>
      <c r="J871" t="n">
        <v>0.0184398405225256</v>
      </c>
      <c r="K871" t="n">
        <v>0.5116293732406619</v>
      </c>
      <c r="L871" t="b">
        <v>0</v>
      </c>
      <c r="M871" t="b">
        <v>0</v>
      </c>
      <c r="N871" t="inlineStr">
        <is>
          <t>alt</t>
        </is>
      </c>
      <c r="O871" t="n">
        <v>55</v>
      </c>
      <c r="P871" t="n">
        <v>0.007786</v>
      </c>
      <c r="Q871" t="n">
        <v>35</v>
      </c>
      <c r="R871" t="n">
        <v>0.05298</v>
      </c>
      <c r="S871">
        <f>IMAGE("https://mitra.stanford.edu/kundaje/oak/projects/neuro-variants/variant_position/credible/roussos_2024/variant_figures/roussos_2024.childhood.GLU/rs7973976_count_position.png",4,220,900)</f>
        <v/>
      </c>
      <c r="T871">
        <f>IMAGE("https://mitra.stanford.edu/kundaje/oak/projects/neuro-variants/variant_position/credible/roussos_2024/variant_figures/roussos_2024.childhood.GLU/rs7973976_profile_position.png",4,220,900)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0.0282497449</v>
      </c>
      <c r="G872" t="n">
        <v>0.283814702896681</v>
      </c>
      <c r="H872" t="n">
        <v>0.0320583852087582</v>
      </c>
      <c r="I872" t="n">
        <v>0.017102378685165</v>
      </c>
      <c r="J872" t="n">
        <v>0.0952548239875549</v>
      </c>
      <c r="K872" t="n">
        <v>0.2538682702458328</v>
      </c>
      <c r="L872" t="b">
        <v>1</v>
      </c>
      <c r="M872" t="b">
        <v>0</v>
      </c>
      <c r="N872" t="inlineStr">
        <is>
          <t>alt</t>
        </is>
      </c>
      <c r="O872" t="n">
        <v>10</v>
      </c>
      <c r="P872" t="n">
        <v>0.001709</v>
      </c>
      <c r="Q872" t="n">
        <v>10</v>
      </c>
      <c r="R872" t="n">
        <v>0.01831</v>
      </c>
      <c r="S872">
        <f>IMAGE("https://mitra.stanford.edu/kundaje/oak/projects/neuro-variants/variant_position/credible/roussos_2024/variant_figures/roussos_2024.childhood.GLU/rs7313402_count_position.png",4,220,900)</f>
        <v/>
      </c>
      <c r="T872">
        <f>IMAGE("https://mitra.stanford.edu/kundaje/oak/projects/neuro-variants/variant_position/credible/roussos_2024/variant_figures/roussos_2024.childhood.GLU/rs7313402_profile_position.png",4,220,900)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-0.0237583374999999</v>
      </c>
      <c r="G873" t="n">
        <v>0.3801682541359762</v>
      </c>
      <c r="H873" t="n">
        <v>0.0151692883919793</v>
      </c>
      <c r="I873" t="n">
        <v>0.2408549444341393</v>
      </c>
      <c r="J873" t="n">
        <v>0.1120916480369229</v>
      </c>
      <c r="K873" t="n">
        <v>0.2277710953277578</v>
      </c>
      <c r="L873" t="b">
        <v>0</v>
      </c>
      <c r="M873" t="b">
        <v>0</v>
      </c>
      <c r="N873" t="inlineStr">
        <is>
          <t>ref</t>
        </is>
      </c>
      <c r="O873" t="n">
        <v>-75</v>
      </c>
      <c r="P873" t="n">
        <v>0.004944</v>
      </c>
      <c r="Q873" t="n">
        <v>-75</v>
      </c>
      <c r="R873" t="n">
        <v>0.00586</v>
      </c>
      <c r="S873">
        <f>IMAGE("https://mitra.stanford.edu/kundaje/oak/projects/neuro-variants/variant_position/credible/roussos_2024/variant_figures/roussos_2024.childhood.GLU/rs10861879_count_position.png",4,220,900)</f>
        <v/>
      </c>
      <c r="T873">
        <f>IMAGE("https://mitra.stanford.edu/kundaje/oak/projects/neuro-variants/variant_position/credible/roussos_2024/variant_figures/roussos_2024.childhood.GLU/rs10861879_profile_position.png",4,220,900)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0.0213128482</v>
      </c>
      <c r="G874" t="n">
        <v>0.3692000032834809</v>
      </c>
      <c r="H874" t="n">
        <v>0.008988361652890501</v>
      </c>
      <c r="I874" t="n">
        <v>0.7556377833775761</v>
      </c>
      <c r="J874" t="n">
        <v>0.0193608538432216</v>
      </c>
      <c r="K874" t="n">
        <v>0.5148430926363748</v>
      </c>
      <c r="L874" t="b">
        <v>0</v>
      </c>
      <c r="M874" t="b">
        <v>0</v>
      </c>
      <c r="N874" t="inlineStr">
        <is>
          <t>alt</t>
        </is>
      </c>
      <c r="O874" t="n">
        <v>-85</v>
      </c>
      <c r="P874" t="n">
        <v>0.002743</v>
      </c>
      <c r="Q874" t="n">
        <v>-65</v>
      </c>
      <c r="R874" t="n">
        <v>0.00928</v>
      </c>
      <c r="S874">
        <f>IMAGE("https://mitra.stanford.edu/kundaje/oak/projects/neuro-variants/variant_position/credible/roussos_2024/variant_figures/roussos_2024.childhood.GLU/rs4964661_count_position.png",4,220,900)</f>
        <v/>
      </c>
      <c r="T874">
        <f>IMAGE("https://mitra.stanford.edu/kundaje/oak/projects/neuro-variants/variant_position/credible/roussos_2024/variant_figures/roussos_2024.childhood.GLU/rs4964661_profile_position.png",4,220,900)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-0.0209585432</v>
      </c>
      <c r="G875" t="n">
        <v>0.4619078982704684</v>
      </c>
      <c r="H875" t="n">
        <v>0.0088318992957121</v>
      </c>
      <c r="I875" t="n">
        <v>0.7200744534766225</v>
      </c>
      <c r="J875" t="n">
        <v>0.0904375328381426</v>
      </c>
      <c r="K875" t="n">
        <v>0.2616866726437483</v>
      </c>
      <c r="L875" t="b">
        <v>0</v>
      </c>
      <c r="M875" t="b">
        <v>0</v>
      </c>
      <c r="N875" t="inlineStr">
        <is>
          <t>ref</t>
        </is>
      </c>
      <c r="O875" t="n">
        <v>40</v>
      </c>
      <c r="P875" t="n">
        <v>0.002647</v>
      </c>
      <c r="Q875" t="n">
        <v>15</v>
      </c>
      <c r="R875" t="n">
        <v>0.08276</v>
      </c>
      <c r="S875">
        <f>IMAGE("https://mitra.stanford.edu/kundaje/oak/projects/neuro-variants/variant_position/credible/roussos_2024/variant_figures/roussos_2024.childhood.GLU/rs3764002_count_position.png",4,220,900)</f>
        <v/>
      </c>
      <c r="T875">
        <f>IMAGE("https://mitra.stanford.edu/kundaje/oak/projects/neuro-variants/variant_position/credible/roussos_2024/variant_figures/roussos_2024.childhood.GLU/rs3764002_profile_position.png",4,220,900)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0.0314455964</v>
      </c>
      <c r="G876" t="n">
        <v>0.3134350353135385</v>
      </c>
      <c r="H876" t="n">
        <v>0.0089435339932258</v>
      </c>
      <c r="I876" t="n">
        <v>0.773845530843849</v>
      </c>
      <c r="J876" t="n">
        <v>0.0398487642556172</v>
      </c>
      <c r="K876" t="n">
        <v>0.3895559763507573</v>
      </c>
      <c r="L876" t="b">
        <v>0</v>
      </c>
      <c r="M876" t="b">
        <v>0</v>
      </c>
      <c r="N876" t="inlineStr">
        <is>
          <t>alt</t>
        </is>
      </c>
      <c r="O876" t="n">
        <v>-85</v>
      </c>
      <c r="P876" t="n">
        <v>0.04303</v>
      </c>
      <c r="Q876" t="n">
        <v>-30</v>
      </c>
      <c r="R876" t="n">
        <v>0.09229999999999999</v>
      </c>
      <c r="S876">
        <f>IMAGE("https://mitra.stanford.edu/kundaje/oak/projects/neuro-variants/variant_position/credible/roussos_2024/variant_figures/roussos_2024.childhood.GLU/rs4964665_count_position.png",4,220,900)</f>
        <v/>
      </c>
      <c r="T876">
        <f>IMAGE("https://mitra.stanford.edu/kundaje/oak/projects/neuro-variants/variant_position/credible/roussos_2024/variant_figures/roussos_2024.childhood.GLU/rs4964665_profile_position.png",4,220,900)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0.1659008504</v>
      </c>
      <c r="G877" t="n">
        <v>0.0178061568476215</v>
      </c>
      <c r="H877" t="n">
        <v>0.032755206801403</v>
      </c>
      <c r="I877" t="n">
        <v>0.0193965966838882</v>
      </c>
      <c r="J877" t="n">
        <v>0.0046246407120853</v>
      </c>
      <c r="K877" t="n">
        <v>0.6825689567666041</v>
      </c>
      <c r="L877" t="b">
        <v>1</v>
      </c>
      <c r="M877" t="b">
        <v>0</v>
      </c>
      <c r="N877" t="inlineStr">
        <is>
          <t>alt</t>
        </is>
      </c>
      <c r="O877" t="n">
        <v>-65</v>
      </c>
      <c r="P877" t="n">
        <v>0.002258</v>
      </c>
      <c r="Q877" t="n">
        <v>-25</v>
      </c>
      <c r="R877" t="n">
        <v>0.03015</v>
      </c>
      <c r="S877">
        <f>IMAGE("https://mitra.stanford.edu/kundaje/oak/projects/neuro-variants/variant_position/credible/roussos_2024/variant_figures/roussos_2024.childhood.GLU/rs2559882_count_position.png",4,220,900)</f>
        <v/>
      </c>
      <c r="T877">
        <f>IMAGE("https://mitra.stanford.edu/kundaje/oak/projects/neuro-variants/variant_position/credible/roussos_2024/variant_figures/roussos_2024.childhood.GLU/rs2559882_profile_position.png",4,220,900)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-0.1755450939999999</v>
      </c>
      <c r="G878" t="n">
        <v>0.0118253555864614</v>
      </c>
      <c r="H878" t="n">
        <v>0.0192467086645481</v>
      </c>
      <c r="I878" t="n">
        <v>0.1151245361803641</v>
      </c>
      <c r="J878" t="n">
        <v>0.1255081541615585</v>
      </c>
      <c r="K878" t="n">
        <v>0.2155019258436627</v>
      </c>
      <c r="L878" t="b">
        <v>1</v>
      </c>
      <c r="M878" t="b">
        <v>0</v>
      </c>
      <c r="N878" t="inlineStr">
        <is>
          <t>ref</t>
        </is>
      </c>
      <c r="O878" t="n">
        <v>-10</v>
      </c>
      <c r="P878" t="n">
        <v>0.001057</v>
      </c>
      <c r="Q878" t="n">
        <v>15</v>
      </c>
      <c r="R878" t="n">
        <v>0.0337</v>
      </c>
      <c r="S878">
        <f>IMAGE("https://mitra.stanford.edu/kundaje/oak/projects/neuro-variants/variant_position/credible/roussos_2024/variant_figures/roussos_2024.childhood.GLU/rs2559875_count_position.png",4,220,900)</f>
        <v/>
      </c>
      <c r="T878">
        <f>IMAGE("https://mitra.stanford.edu/kundaje/oak/projects/neuro-variants/variant_position/credible/roussos_2024/variant_figures/roussos_2024.childhood.GLU/rs2559875_profile_position.png",4,220,900)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-0.137679192</v>
      </c>
      <c r="G879" t="n">
        <v>0.0220939023657416</v>
      </c>
      <c r="H879" t="n">
        <v>0.0271196553563477</v>
      </c>
      <c r="I879" t="n">
        <v>0.0336868806053987</v>
      </c>
      <c r="J879" t="n">
        <v>0.3537154748781769</v>
      </c>
      <c r="K879" t="n">
        <v>0.0782607497156335</v>
      </c>
      <c r="L879" t="b">
        <v>0</v>
      </c>
      <c r="M879" t="b">
        <v>0</v>
      </c>
      <c r="N879" t="inlineStr">
        <is>
          <t>ref</t>
        </is>
      </c>
      <c r="O879" t="n">
        <v>60</v>
      </c>
      <c r="P879" t="n">
        <v>0.01416</v>
      </c>
      <c r="Q879" t="n">
        <v>85</v>
      </c>
      <c r="R879" t="n">
        <v>0.1113</v>
      </c>
      <c r="S879">
        <f>IMAGE("https://mitra.stanford.edu/kundaje/oak/projects/neuro-variants/variant_position/credible/roussos_2024/variant_figures/roussos_2024.childhood.GLU/rs75306978_count_position.png",4,220,900)</f>
        <v/>
      </c>
      <c r="T879">
        <f>IMAGE("https://mitra.stanford.edu/kundaje/oak/projects/neuro-variants/variant_position/credible/roussos_2024/variant_figures/roussos_2024.childhood.GLU/rs75306978_profile_position.png",4,220,900)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-0.06908531079999999</v>
      </c>
      <c r="G880" t="n">
        <v>0.1140485817290317</v>
      </c>
      <c r="H880" t="n">
        <v>0.0250059542263457</v>
      </c>
      <c r="I880" t="n">
        <v>0.0452990981607476</v>
      </c>
      <c r="J880" t="n">
        <v>0.2182523411664108</v>
      </c>
      <c r="K880" t="n">
        <v>0.1382342179136475</v>
      </c>
      <c r="L880" t="b">
        <v>0</v>
      </c>
      <c r="M880" t="b">
        <v>0</v>
      </c>
      <c r="N880" t="inlineStr">
        <is>
          <t>ref</t>
        </is>
      </c>
      <c r="O880" t="n">
        <v>25</v>
      </c>
      <c r="P880" t="n">
        <v>0.001077</v>
      </c>
      <c r="Q880" t="n">
        <v>70</v>
      </c>
      <c r="R880" t="n">
        <v>0.03003</v>
      </c>
      <c r="S880">
        <f>IMAGE("https://mitra.stanford.edu/kundaje/oak/projects/neuro-variants/variant_position/credible/roussos_2024/variant_figures/roussos_2024.childhood.GLU/rs79715421_count_position.png",4,220,900)</f>
        <v/>
      </c>
      <c r="T880">
        <f>IMAGE("https://mitra.stanford.edu/kundaje/oak/projects/neuro-variants/variant_position/credible/roussos_2024/variant_figures/roussos_2024.childhood.GLU/rs79715421_profile_position.png",4,220,900)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0.01019819368</v>
      </c>
      <c r="G881" t="n">
        <v>0.5512612215298369</v>
      </c>
      <c r="H881" t="n">
        <v>0.0085539971698428</v>
      </c>
      <c r="I881" t="n">
        <v>0.7899593832292886</v>
      </c>
      <c r="J881" t="n">
        <v>0.08099251032791779</v>
      </c>
      <c r="K881" t="n">
        <v>0.2800026666146792</v>
      </c>
      <c r="L881" t="b">
        <v>0</v>
      </c>
      <c r="M881" t="b">
        <v>0</v>
      </c>
      <c r="N881" t="inlineStr">
        <is>
          <t>alt</t>
        </is>
      </c>
      <c r="O881" t="n">
        <v>30</v>
      </c>
      <c r="P881" t="n">
        <v>0.00711</v>
      </c>
      <c r="Q881" t="n">
        <v>-95</v>
      </c>
      <c r="R881" t="n">
        <v>0.07715</v>
      </c>
      <c r="S881">
        <f>IMAGE("https://mitra.stanford.edu/kundaje/oak/projects/neuro-variants/variant_position/credible/roussos_2024/variant_figures/roussos_2024.childhood.GLU/rs67917264_count_position.png",4,220,900)</f>
        <v/>
      </c>
      <c r="T881">
        <f>IMAGE("https://mitra.stanford.edu/kundaje/oak/projects/neuro-variants/variant_position/credible/roussos_2024/variant_figures/roussos_2024.childhood.GLU/rs67917264_profile_position.png",4,220,900)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-0.0732648618</v>
      </c>
      <c r="G882" t="n">
        <v>0.0883618217600452</v>
      </c>
      <c r="H882" t="n">
        <v>0.009288667484768301</v>
      </c>
      <c r="I882" t="n">
        <v>0.7388874641646452</v>
      </c>
      <c r="J882" t="n">
        <v>0.4700351303738654</v>
      </c>
      <c r="K882" t="n">
        <v>0.0477500195692391</v>
      </c>
      <c r="L882" t="b">
        <v>0</v>
      </c>
      <c r="M882" t="b">
        <v>0</v>
      </c>
      <c r="N882" t="inlineStr">
        <is>
          <t>ref</t>
        </is>
      </c>
      <c r="O882" t="n">
        <v>-90</v>
      </c>
      <c r="P882" t="n">
        <v>0.2131</v>
      </c>
      <c r="Q882" t="n">
        <v>-100</v>
      </c>
      <c r="R882" t="n">
        <v>0.1267</v>
      </c>
      <c r="S882">
        <f>IMAGE("https://mitra.stanford.edu/kundaje/oak/projects/neuro-variants/variant_position/credible/roussos_2024/variant_figures/roussos_2024.childhood.GLU/rs3759384_count_position.png",4,220,900)</f>
        <v/>
      </c>
      <c r="T882">
        <f>IMAGE("https://mitra.stanford.edu/kundaje/oak/projects/neuro-variants/variant_position/credible/roussos_2024/variant_figures/roussos_2024.childhood.GLU/rs3759384_profile_position.png",4,220,900)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-0.03116174894</v>
      </c>
      <c r="G883" t="n">
        <v>0.322289736078633</v>
      </c>
      <c r="H883" t="n">
        <v>0.0113004193992283</v>
      </c>
      <c r="I883" t="n">
        <v>0.5263741893781333</v>
      </c>
      <c r="J883" t="n">
        <v>0.03884533363553</v>
      </c>
      <c r="K883" t="n">
        <v>0.3895413257488819</v>
      </c>
      <c r="L883" t="b">
        <v>0</v>
      </c>
      <c r="M883" t="b">
        <v>0</v>
      </c>
      <c r="N883" t="inlineStr">
        <is>
          <t>ref</t>
        </is>
      </c>
      <c r="O883" t="n">
        <v>5</v>
      </c>
      <c r="P883" t="n">
        <v>0.002213</v>
      </c>
      <c r="Q883" t="n">
        <v>5</v>
      </c>
      <c r="R883" t="n">
        <v>0.006104</v>
      </c>
      <c r="S883">
        <f>IMAGE("https://mitra.stanford.edu/kundaje/oak/projects/neuro-variants/variant_position/credible/roussos_2024/variant_figures/roussos_2024.childhood.GLU/rs11065647_count_position.png",4,220,900)</f>
        <v/>
      </c>
      <c r="T883">
        <f>IMAGE("https://mitra.stanford.edu/kundaje/oak/projects/neuro-variants/variant_position/credible/roussos_2024/variant_figures/roussos_2024.childhood.GLU/rs11065647_profile_position.png",4,220,900)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0.0817416296</v>
      </c>
      <c r="G884" t="n">
        <v>0.0705046063374084</v>
      </c>
      <c r="H884" t="n">
        <v>0.0125838143905885</v>
      </c>
      <c r="I884" t="n">
        <v>0.4015388707208432</v>
      </c>
      <c r="J884" t="n">
        <v>0.0551649891312185</v>
      </c>
      <c r="K884" t="n">
        <v>0.3389411819071431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0.01767</v>
      </c>
      <c r="Q884" t="n">
        <v>30</v>
      </c>
      <c r="R884" t="n">
        <v>0.05588</v>
      </c>
      <c r="S884">
        <f>IMAGE("https://mitra.stanford.edu/kundaje/oak/projects/neuro-variants/variant_position/credible/roussos_2024/variant_figures/roussos_2024.childhood.GLU/rs184629901_count_position.png",4,220,900)</f>
        <v/>
      </c>
      <c r="T884">
        <f>IMAGE("https://mitra.stanford.edu/kundaje/oak/projects/neuro-variants/variant_position/credible/roussos_2024/variant_figures/roussos_2024.childhood.GLU/rs184629901_profile_position.png",4,220,900)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-0.1350511598</v>
      </c>
      <c r="G885" t="n">
        <v>0.0267435616366135</v>
      </c>
      <c r="H885" t="n">
        <v>0.0319083593467082</v>
      </c>
      <c r="I885" t="n">
        <v>0.0168318579807355</v>
      </c>
      <c r="J885" t="n">
        <v>0.09224144147856619</v>
      </c>
      <c r="K885" t="n">
        <v>0.2660240314843021</v>
      </c>
      <c r="L885" t="b">
        <v>1</v>
      </c>
      <c r="M885" t="b">
        <v>0</v>
      </c>
      <c r="N885" t="inlineStr">
        <is>
          <t>ref</t>
        </is>
      </c>
      <c r="O885" t="n">
        <v>45</v>
      </c>
      <c r="P885" t="n">
        <v>0.00241</v>
      </c>
      <c r="Q885" t="n">
        <v>-60</v>
      </c>
      <c r="R885" t="n">
        <v>0.0762</v>
      </c>
      <c r="S885">
        <f>IMAGE("https://mitra.stanford.edu/kundaje/oak/projects/neuro-variants/variant_position/credible/roussos_2024/variant_figures/roussos_2024.childhood.GLU/rs4766497_count_position.png",4,220,900)</f>
        <v/>
      </c>
      <c r="T885">
        <f>IMAGE("https://mitra.stanford.edu/kundaje/oak/projects/neuro-variants/variant_position/credible/roussos_2024/variant_figures/roussos_2024.childhood.GLU/rs4766497_profile_position.png",4,220,900)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0.1370619029999999</v>
      </c>
      <c r="G886" t="n">
        <v>0.0215002849877034</v>
      </c>
      <c r="H886" t="n">
        <v>0.030405899277872</v>
      </c>
      <c r="I886" t="n">
        <v>0.0205922542021822</v>
      </c>
      <c r="J886" t="n">
        <v>0.1810265074639166</v>
      </c>
      <c r="K886" t="n">
        <v>0.1639336831766206</v>
      </c>
      <c r="L886" t="b">
        <v>0</v>
      </c>
      <c r="M886" t="b">
        <v>0</v>
      </c>
      <c r="N886" t="inlineStr">
        <is>
          <t>alt</t>
        </is>
      </c>
      <c r="O886" t="n">
        <v>-15</v>
      </c>
      <c r="P886" t="n">
        <v>0.01825</v>
      </c>
      <c r="Q886" t="n">
        <v>65</v>
      </c>
      <c r="R886" t="n">
        <v>0.0376</v>
      </c>
      <c r="S886">
        <f>IMAGE("https://mitra.stanford.edu/kundaje/oak/projects/neuro-variants/variant_position/credible/roussos_2024/variant_figures/roussos_2024.childhood.GLU/rs12311093_count_position.png",4,220,900)</f>
        <v/>
      </c>
      <c r="T886">
        <f>IMAGE("https://mitra.stanford.edu/kundaje/oak/projects/neuro-variants/variant_position/credible/roussos_2024/variant_figures/roussos_2024.childhood.GLU/rs12311093_profile_position.png",4,220,900)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-0.015710215</v>
      </c>
      <c r="G887" t="n">
        <v>0.5489650708370497</v>
      </c>
      <c r="H887" t="n">
        <v>0.0331774957075044</v>
      </c>
      <c r="I887" t="n">
        <v>0.0144493530025737</v>
      </c>
      <c r="J887" t="n">
        <v>0.074932778390184</v>
      </c>
      <c r="K887" t="n">
        <v>0.2984971189573512</v>
      </c>
      <c r="L887" t="b">
        <v>1</v>
      </c>
      <c r="M887" t="b">
        <v>0</v>
      </c>
      <c r="N887" t="inlineStr">
        <is>
          <t>ref</t>
        </is>
      </c>
      <c r="O887" t="n">
        <v>-45</v>
      </c>
      <c r="P887" t="n">
        <v>0.003326</v>
      </c>
      <c r="Q887" t="n">
        <v>-20</v>
      </c>
      <c r="R887" t="n">
        <v>0.02383</v>
      </c>
      <c r="S887">
        <f>IMAGE("https://mitra.stanford.edu/kundaje/oak/projects/neuro-variants/variant_position/credible/roussos_2024/variant_figures/roussos_2024.childhood.GLU/rs12228118_count_position.png",4,220,900)</f>
        <v/>
      </c>
      <c r="T887">
        <f>IMAGE("https://mitra.stanford.edu/kundaje/oak/projects/neuro-variants/variant_position/credible/roussos_2024/variant_figures/roussos_2024.childhood.GLU/rs12228118_profile_position.png",4,220,900)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-0.034511929</v>
      </c>
      <c r="G888" t="n">
        <v>0.2813801418346437</v>
      </c>
      <c r="H888" t="n">
        <v>0.0085537536885032</v>
      </c>
      <c r="I888" t="n">
        <v>0.8199102864358032</v>
      </c>
      <c r="J888" t="n">
        <v>0.1399868132320973</v>
      </c>
      <c r="K888" t="n">
        <v>0.1991614196084057</v>
      </c>
      <c r="L888" t="b">
        <v>0</v>
      </c>
      <c r="M888" t="b">
        <v>0</v>
      </c>
      <c r="N888" t="inlineStr">
        <is>
          <t>ref</t>
        </is>
      </c>
      <c r="O888" t="n">
        <v>-50</v>
      </c>
      <c r="P888" t="n">
        <v>0.04333</v>
      </c>
      <c r="Q888" t="n">
        <v>100</v>
      </c>
      <c r="R888" t="n">
        <v>0.0886</v>
      </c>
      <c r="S888">
        <f>IMAGE("https://mitra.stanford.edu/kundaje/oak/projects/neuro-variants/variant_position/credible/roussos_2024/variant_figures/roussos_2024.childhood.GLU/rs78197988_count_position.png",4,220,900)</f>
        <v/>
      </c>
      <c r="T888">
        <f>IMAGE("https://mitra.stanford.edu/kundaje/oak/projects/neuro-variants/variant_position/credible/roussos_2024/variant_figures/roussos_2024.childhood.GLU/rs78197988_profile_position.png",4,220,900)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0.0164107088</v>
      </c>
      <c r="G889" t="n">
        <v>0.5136598818247918</v>
      </c>
      <c r="H889" t="n">
        <v>0.044489872710683</v>
      </c>
      <c r="I889" t="n">
        <v>0.004441178190347</v>
      </c>
      <c r="J889" t="n">
        <v>0.0631398930635539</v>
      </c>
      <c r="K889" t="n">
        <v>0.3208986648311632</v>
      </c>
      <c r="L889" t="b">
        <v>1</v>
      </c>
      <c r="M889" t="b">
        <v>1</v>
      </c>
      <c r="N889" t="inlineStr">
        <is>
          <t>alt</t>
        </is>
      </c>
      <c r="O889" t="n">
        <v>100</v>
      </c>
      <c r="P889" t="n">
        <v>0.0573</v>
      </c>
      <c r="Q889" t="n">
        <v>-85</v>
      </c>
      <c r="R889" t="n">
        <v>0.0762</v>
      </c>
      <c r="S889">
        <f>IMAGE("https://mitra.stanford.edu/kundaje/oak/projects/neuro-variants/variant_position/credible/roussos_2024/variant_figures/roussos_2024.childhood.GLU/rs2243616_count_position.png",4,220,900)</f>
        <v/>
      </c>
      <c r="T889">
        <f>IMAGE("https://mitra.stanford.edu/kundaje/oak/projects/neuro-variants/variant_position/credible/roussos_2024/variant_figures/roussos_2024.childhood.GLU/rs2243616_profile_position.png",4,220,900)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-0.01297776052</v>
      </c>
      <c r="G890" t="n">
        <v>0.6083099046349328</v>
      </c>
      <c r="H890" t="n">
        <v>0.0234944335488505</v>
      </c>
      <c r="I890" t="n">
        <v>0.0542645601281728</v>
      </c>
      <c r="J890" t="n">
        <v>0.1941957616903788</v>
      </c>
      <c r="K890" t="n">
        <v>0.1562835204986777</v>
      </c>
      <c r="L890" t="b">
        <v>0</v>
      </c>
      <c r="M890" t="b">
        <v>0</v>
      </c>
      <c r="N890" t="inlineStr">
        <is>
          <t>ref</t>
        </is>
      </c>
      <c r="O890" t="n">
        <v>-55</v>
      </c>
      <c r="P890" t="n">
        <v>0.04163</v>
      </c>
      <c r="Q890" t="n">
        <v>100</v>
      </c>
      <c r="R890" t="n">
        <v>0.3447</v>
      </c>
      <c r="S890">
        <f>IMAGE("https://mitra.stanford.edu/kundaje/oak/projects/neuro-variants/variant_position/credible/roussos_2024/variant_figures/roussos_2024.childhood.GLU/rs1169314_count_position.png",4,220,900)</f>
        <v/>
      </c>
      <c r="T890">
        <f>IMAGE("https://mitra.stanford.edu/kundaje/oak/projects/neuro-variants/variant_position/credible/roussos_2024/variant_figures/roussos_2024.childhood.GLU/rs1169314_profile_position.png",4,220,900)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-0.0554334788</v>
      </c>
      <c r="G891" t="n">
        <v>0.1426782289815378</v>
      </c>
      <c r="H891" t="n">
        <v>0.0150158463884203</v>
      </c>
      <c r="I891" t="n">
        <v>0.2450602084703356</v>
      </c>
      <c r="J891" t="n">
        <v>0.0940443199027475</v>
      </c>
      <c r="K891" t="n">
        <v>0.2578416101646044</v>
      </c>
      <c r="L891" t="b">
        <v>0</v>
      </c>
      <c r="M891" t="b">
        <v>0</v>
      </c>
      <c r="N891" t="inlineStr">
        <is>
          <t>ref</t>
        </is>
      </c>
      <c r="O891" t="n">
        <v>-15</v>
      </c>
      <c r="P891" t="n">
        <v>0.001438</v>
      </c>
      <c r="Q891" t="n">
        <v>100</v>
      </c>
      <c r="R891" t="n">
        <v>0.05603</v>
      </c>
      <c r="S891">
        <f>IMAGE("https://mitra.stanford.edu/kundaje/oak/projects/neuro-variants/variant_position/credible/roussos_2024/variant_figures/roussos_2024.childhood.GLU/rs2264750_count_position.png",4,220,900)</f>
        <v/>
      </c>
      <c r="T891">
        <f>IMAGE("https://mitra.stanford.edu/kundaje/oak/projects/neuro-variants/variant_position/credible/roussos_2024/variant_figures/roussos_2024.childhood.GLU/rs2264750_profile_position.png",4,220,900)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0.0597143336</v>
      </c>
      <c r="G892" t="n">
        <v>0.1304779713884824</v>
      </c>
      <c r="H892" t="n">
        <v>0.010972483749124</v>
      </c>
      <c r="I892" t="n">
        <v>0.5542632226979287</v>
      </c>
      <c r="J892" t="n">
        <v>0.3205868111716649</v>
      </c>
      <c r="K892" t="n">
        <v>0.0894629145206207</v>
      </c>
      <c r="L892" t="b">
        <v>0</v>
      </c>
      <c r="M892" t="b">
        <v>0</v>
      </c>
      <c r="N892" t="inlineStr">
        <is>
          <t>alt</t>
        </is>
      </c>
      <c r="O892" t="n">
        <v>-70</v>
      </c>
      <c r="P892" t="n">
        <v>0.003668</v>
      </c>
      <c r="Q892" t="n">
        <v>95</v>
      </c>
      <c r="R892" t="n">
        <v>0.1697</v>
      </c>
      <c r="S892">
        <f>IMAGE("https://mitra.stanford.edu/kundaje/oak/projects/neuro-variants/variant_position/credible/roussos_2024/variant_figures/roussos_2024.childhood.GLU/rs2686345_count_position.png",4,220,900)</f>
        <v/>
      </c>
      <c r="T892">
        <f>IMAGE("https://mitra.stanford.edu/kundaje/oak/projects/neuro-variants/variant_position/credible/roussos_2024/variant_figures/roussos_2024.childhood.GLU/rs2686345_profile_position.png",4,220,900)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-0.1059414598</v>
      </c>
      <c r="G893" t="n">
        <v>0.0405873336647389</v>
      </c>
      <c r="H893" t="n">
        <v>0.0126908411772454</v>
      </c>
      <c r="I893" t="n">
        <v>0.3907617734744022</v>
      </c>
      <c r="J893" t="n">
        <v>0.0109584101702947</v>
      </c>
      <c r="K893" t="n">
        <v>0.5773302815774013</v>
      </c>
      <c r="L893" t="b">
        <v>0</v>
      </c>
      <c r="M893" t="b">
        <v>0</v>
      </c>
      <c r="N893" t="inlineStr">
        <is>
          <t>ref</t>
        </is>
      </c>
      <c r="O893" t="n">
        <v>65</v>
      </c>
      <c r="P893" t="n">
        <v>0.02094</v>
      </c>
      <c r="Q893" t="n">
        <v>-90</v>
      </c>
      <c r="R893" t="n">
        <v>0.08409999999999999</v>
      </c>
      <c r="S893">
        <f>IMAGE("https://mitra.stanford.edu/kundaje/oak/projects/neuro-variants/variant_position/credible/roussos_2024/variant_figures/roussos_2024.childhood.GLU/rs76170072_count_position.png",4,220,900)</f>
        <v/>
      </c>
      <c r="T893">
        <f>IMAGE("https://mitra.stanford.edu/kundaje/oak/projects/neuro-variants/variant_position/credible/roussos_2024/variant_figures/roussos_2024.childhood.GLU/rs76170072_profile_position.png",4,220,900)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0.0867633166</v>
      </c>
      <c r="G894" t="n">
        <v>0.06477262164008089</v>
      </c>
      <c r="H894" t="n">
        <v>0.0135276834706997</v>
      </c>
      <c r="I894" t="n">
        <v>0.3360538529851413</v>
      </c>
      <c r="J894" t="n">
        <v>0.0072527223464204</v>
      </c>
      <c r="K894" t="n">
        <v>0.6353854837943128</v>
      </c>
      <c r="L894" t="b">
        <v>0</v>
      </c>
      <c r="M894" t="b">
        <v>0</v>
      </c>
      <c r="N894" t="inlineStr">
        <is>
          <t>alt</t>
        </is>
      </c>
      <c r="O894" t="n">
        <v>5</v>
      </c>
      <c r="P894" t="n">
        <v>0.003662</v>
      </c>
      <c r="Q894" t="n">
        <v>-70</v>
      </c>
      <c r="R894" t="n">
        <v>0.049</v>
      </c>
      <c r="S894">
        <f>IMAGE("https://mitra.stanford.edu/kundaje/oak/projects/neuro-variants/variant_position/credible/roussos_2024/variant_figures/roussos_2024.childhood.GLU/rs61697335_count_position.png",4,220,900)</f>
        <v/>
      </c>
      <c r="T894">
        <f>IMAGE("https://mitra.stanford.edu/kundaje/oak/projects/neuro-variants/variant_position/credible/roussos_2024/variant_figures/roussos_2024.childhood.GLU/rs61697335_profile_position.png",4,220,900)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0.00179220116</v>
      </c>
      <c r="G895" t="n">
        <v>0.6852734650437696</v>
      </c>
      <c r="H895" t="n">
        <v>0.020432946982563</v>
      </c>
      <c r="I895" t="n">
        <v>0.0919428158637737</v>
      </c>
      <c r="J895" t="n">
        <v>0.2129951476814982</v>
      </c>
      <c r="K895" t="n">
        <v>0.1395896991158565</v>
      </c>
      <c r="L895" t="b">
        <v>0</v>
      </c>
      <c r="M895" t="b">
        <v>0</v>
      </c>
      <c r="N895" t="inlineStr">
        <is>
          <t>alt</t>
        </is>
      </c>
      <c r="O895" t="n">
        <v>100</v>
      </c>
      <c r="P895" t="n">
        <v>0.00537</v>
      </c>
      <c r="Q895" t="n">
        <v>-80</v>
      </c>
      <c r="R895" t="n">
        <v>0.11865</v>
      </c>
      <c r="S895">
        <f>IMAGE("https://mitra.stanford.edu/kundaje/oak/projects/neuro-variants/variant_position/credible/roussos_2024/variant_figures/roussos_2024.childhood.GLU/rs11830307_count_position.png",4,220,900)</f>
        <v/>
      </c>
      <c r="T895">
        <f>IMAGE("https://mitra.stanford.edu/kundaje/oak/projects/neuro-variants/variant_position/credible/roussos_2024/variant_figures/roussos_2024.childhood.GLU/rs11830307_profile_position.png",4,220,900)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0.01775563086</v>
      </c>
      <c r="G896" t="n">
        <v>0.4983724876714496</v>
      </c>
      <c r="H896" t="n">
        <v>0.0132676318129762</v>
      </c>
      <c r="I896" t="n">
        <v>0.344468740534839</v>
      </c>
      <c r="J896" t="n">
        <v>0.0301121905487961</v>
      </c>
      <c r="K896" t="n">
        <v>0.4384873104105021</v>
      </c>
      <c r="L896" t="b">
        <v>0</v>
      </c>
      <c r="M896" t="b">
        <v>0</v>
      </c>
      <c r="N896" t="inlineStr">
        <is>
          <t>alt</t>
        </is>
      </c>
      <c r="O896" t="n">
        <v>0</v>
      </c>
      <c r="P896" t="n">
        <v>0</v>
      </c>
      <c r="Q896" t="n">
        <v>100</v>
      </c>
      <c r="R896" t="n">
        <v>0.04474</v>
      </c>
      <c r="S896">
        <f>IMAGE("https://mitra.stanford.edu/kundaje/oak/projects/neuro-variants/variant_position/credible/roussos_2024/variant_figures/roussos_2024.childhood.GLU/rs59199848_count_position.png",4,220,900)</f>
        <v/>
      </c>
      <c r="T896">
        <f>IMAGE("https://mitra.stanford.edu/kundaje/oak/projects/neuro-variants/variant_position/credible/roussos_2024/variant_figures/roussos_2024.childhood.GLU/rs59199848_profile_position.png",4,220,900)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0.00358723578</v>
      </c>
      <c r="G897" t="n">
        <v>0.7985864268749968</v>
      </c>
      <c r="H897" t="n">
        <v>0.0071232376251085</v>
      </c>
      <c r="I897" t="n">
        <v>0.9358853160452448</v>
      </c>
      <c r="J897" t="n">
        <v>0.0580485643936661</v>
      </c>
      <c r="K897" t="n">
        <v>0.3283879344115323</v>
      </c>
      <c r="L897" t="b">
        <v>0</v>
      </c>
      <c r="M897" t="b">
        <v>0</v>
      </c>
      <c r="N897" t="inlineStr">
        <is>
          <t>alt</t>
        </is>
      </c>
      <c r="O897" t="n">
        <v>90</v>
      </c>
      <c r="P897" t="n">
        <v>0.01208</v>
      </c>
      <c r="Q897" t="n">
        <v>90</v>
      </c>
      <c r="R897" t="n">
        <v>0.07904</v>
      </c>
      <c r="S897">
        <f>IMAGE("https://mitra.stanford.edu/kundaje/oak/projects/neuro-variants/variant_position/credible/roussos_2024/variant_figures/roussos_2024.childhood.GLU/rs3751135_count_position.png",4,220,900)</f>
        <v/>
      </c>
      <c r="T897">
        <f>IMAGE("https://mitra.stanford.edu/kundaje/oak/projects/neuro-variants/variant_position/credible/roussos_2024/variant_figures/roussos_2024.childhood.GLU/rs3751135_profile_position.png",4,220,900)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0.09562149319999989</v>
      </c>
      <c r="G898" t="n">
        <v>0.0484692485386599</v>
      </c>
      <c r="H898" t="n">
        <v>0.0140078850433483</v>
      </c>
      <c r="I898" t="n">
        <v>0.3171360261081048</v>
      </c>
      <c r="J898" t="n">
        <v>0.050833960048214</v>
      </c>
      <c r="K898" t="n">
        <v>0.3541660107502642</v>
      </c>
      <c r="L898" t="b">
        <v>0</v>
      </c>
      <c r="M898" t="b">
        <v>0</v>
      </c>
      <c r="N898" t="inlineStr">
        <is>
          <t>alt</t>
        </is>
      </c>
      <c r="O898" t="n">
        <v>-20</v>
      </c>
      <c r="P898" t="n">
        <v>0.0004272</v>
      </c>
      <c r="Q898" t="n">
        <v>-45</v>
      </c>
      <c r="R898" t="n">
        <v>0.09429999999999999</v>
      </c>
      <c r="S898">
        <f>IMAGE("https://mitra.stanford.edu/kundaje/oak/projects/neuro-variants/variant_position/credible/roussos_2024/variant_figures/roussos_2024.childhood.GLU/rs79741351_count_position.png",4,220,900)</f>
        <v/>
      </c>
      <c r="T898">
        <f>IMAGE("https://mitra.stanford.edu/kundaje/oak/projects/neuro-variants/variant_position/credible/roussos_2024/variant_figures/roussos_2024.childhood.GLU/rs79741351_profile_position.png",4,220,900)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-0.0807612928</v>
      </c>
      <c r="G899" t="n">
        <v>0.0854438534474275</v>
      </c>
      <c r="H899" t="n">
        <v>0.026536616357831</v>
      </c>
      <c r="I899" t="n">
        <v>0.0362477872647058</v>
      </c>
      <c r="J899" t="n">
        <v>0.3600564558500829</v>
      </c>
      <c r="K899" t="n">
        <v>0.0760664834076346</v>
      </c>
      <c r="L899" t="b">
        <v>0</v>
      </c>
      <c r="M899" t="b">
        <v>0</v>
      </c>
      <c r="N899" t="inlineStr">
        <is>
          <t>ref</t>
        </is>
      </c>
      <c r="O899" t="n">
        <v>-5</v>
      </c>
      <c r="P899" t="n">
        <v>0.000412</v>
      </c>
      <c r="Q899" t="n">
        <v>-5</v>
      </c>
      <c r="R899" t="n">
        <v>0.002197</v>
      </c>
      <c r="S899">
        <f>IMAGE("https://mitra.stanford.edu/kundaje/oak/projects/neuro-variants/variant_position/credible/roussos_2024/variant_figures/roussos_2024.childhood.GLU/rs13754_count_position.png",4,220,900)</f>
        <v/>
      </c>
      <c r="T899">
        <f>IMAGE("https://mitra.stanford.edu/kundaje/oak/projects/neuro-variants/variant_position/credible/roussos_2024/variant_figures/roussos_2024.childhood.GLU/rs13754_profile_position.png",4,220,900)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-0.047958393</v>
      </c>
      <c r="G900" t="n">
        <v>0.1914644378930364</v>
      </c>
      <c r="H900" t="n">
        <v>0.0136161367282267</v>
      </c>
      <c r="I900" t="n">
        <v>0.3310737585649883</v>
      </c>
      <c r="J900" t="n">
        <v>0.1311393161424582</v>
      </c>
      <c r="K900" t="n">
        <v>0.2143614146770268</v>
      </c>
      <c r="L900" t="b">
        <v>0</v>
      </c>
      <c r="M900" t="b">
        <v>0</v>
      </c>
      <c r="N900" t="inlineStr">
        <is>
          <t>ref</t>
        </is>
      </c>
      <c r="O900" t="n">
        <v>5</v>
      </c>
      <c r="P900" t="n">
        <v>0.00029</v>
      </c>
      <c r="Q900" t="n">
        <v>100</v>
      </c>
      <c r="R900" t="n">
        <v>0.06396</v>
      </c>
      <c r="S900">
        <f>IMAGE("https://mitra.stanford.edu/kundaje/oak/projects/neuro-variants/variant_position/credible/roussos_2024/variant_figures/roussos_2024.childhood.GLU/rs111782135_count_position.png",4,220,900)</f>
        <v/>
      </c>
      <c r="T900">
        <f>IMAGE("https://mitra.stanford.edu/kundaje/oak/projects/neuro-variants/variant_position/credible/roussos_2024/variant_figures/roussos_2024.childhood.GLU/rs111782135_profile_position.png",4,220,900)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0.0008712078239999</v>
      </c>
      <c r="G901" t="n">
        <v>0.830111682814842</v>
      </c>
      <c r="H901" t="n">
        <v>0.008021668923253801</v>
      </c>
      <c r="I901" t="n">
        <v>0.8664276980686632</v>
      </c>
      <c r="J901" t="n">
        <v>0.231564795450565</v>
      </c>
      <c r="K901" t="n">
        <v>0.1304012279233385</v>
      </c>
      <c r="L901" t="b">
        <v>0</v>
      </c>
      <c r="M901" t="b">
        <v>0</v>
      </c>
      <c r="N901" t="inlineStr">
        <is>
          <t>alt</t>
        </is>
      </c>
      <c r="O901" t="n">
        <v>100</v>
      </c>
      <c r="P901" t="n">
        <v>0.0117</v>
      </c>
      <c r="Q901" t="n">
        <v>65</v>
      </c>
      <c r="R901" t="n">
        <v>0.154</v>
      </c>
      <c r="S901">
        <f>IMAGE("https://mitra.stanford.edu/kundaje/oak/projects/neuro-variants/variant_position/credible/roussos_2024/variant_figures/roussos_2024.childhood.GLU/rs74543852_count_position.png",4,220,900)</f>
        <v/>
      </c>
      <c r="T901">
        <f>IMAGE("https://mitra.stanford.edu/kundaje/oak/projects/neuro-variants/variant_position/credible/roussos_2024/variant_figures/roussos_2024.childhood.GLU/rs74543852_profile_position.png",4,220,900)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0.0073881194799999</v>
      </c>
      <c r="G902" t="n">
        <v>0.6451912390571926</v>
      </c>
      <c r="H902" t="n">
        <v>0.0106960192910037</v>
      </c>
      <c r="I902" t="n">
        <v>0.5861805769208934</v>
      </c>
      <c r="J902" t="n">
        <v>0.1280764832538349</v>
      </c>
      <c r="K902" t="n">
        <v>0.2124340964384586</v>
      </c>
      <c r="L902" t="b">
        <v>0</v>
      </c>
      <c r="M902" t="b">
        <v>0</v>
      </c>
      <c r="N902" t="inlineStr">
        <is>
          <t>alt</t>
        </is>
      </c>
      <c r="O902" t="n">
        <v>45</v>
      </c>
      <c r="P902" t="n">
        <v>0.01857</v>
      </c>
      <c r="Q902" t="n">
        <v>0</v>
      </c>
      <c r="R902" t="n">
        <v>0</v>
      </c>
      <c r="S902">
        <f>IMAGE("https://mitra.stanford.edu/kundaje/oak/projects/neuro-variants/variant_position/credible/roussos_2024/variant_figures/roussos_2024.childhood.GLU/rs34974633_count_position.png",4,220,900)</f>
        <v/>
      </c>
      <c r="T902">
        <f>IMAGE("https://mitra.stanford.edu/kundaje/oak/projects/neuro-variants/variant_position/credible/roussos_2024/variant_figures/roussos_2024.childhood.GLU/rs34974633_profile_position.png",4,220,900)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0.00638206608</v>
      </c>
      <c r="G903" t="n">
        <v>0.7164734347841879</v>
      </c>
      <c r="H903" t="n">
        <v>0.0317465288627185</v>
      </c>
      <c r="I903" t="n">
        <v>0.0167046866949058</v>
      </c>
      <c r="J903" t="n">
        <v>0.1000649036232704</v>
      </c>
      <c r="K903" t="n">
        <v>0.248011382491537</v>
      </c>
      <c r="L903" t="b">
        <v>1</v>
      </c>
      <c r="M903" t="b">
        <v>0</v>
      </c>
      <c r="N903" t="inlineStr">
        <is>
          <t>alt</t>
        </is>
      </c>
      <c r="O903" t="n">
        <v>100</v>
      </c>
      <c r="P903" t="n">
        <v>0.01135</v>
      </c>
      <c r="Q903" t="n">
        <v>10</v>
      </c>
      <c r="R903" t="n">
        <v>0.005493</v>
      </c>
      <c r="S903">
        <f>IMAGE("https://mitra.stanford.edu/kundaje/oak/projects/neuro-variants/variant_position/credible/roussos_2024/variant_figures/roussos_2024.childhood.GLU/rs61952902_count_position.png",4,220,900)</f>
        <v/>
      </c>
      <c r="T903">
        <f>IMAGE("https://mitra.stanford.edu/kundaje/oak/projects/neuro-variants/variant_position/credible/roussos_2024/variant_figures/roussos_2024.childhood.GLU/rs61952902_profile_position.png",4,220,900)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-0.0178535394</v>
      </c>
      <c r="G904" t="n">
        <v>0.5003017837200586</v>
      </c>
      <c r="H904" t="n">
        <v>0.009571781890668801</v>
      </c>
      <c r="I904" t="n">
        <v>0.7081073847958822</v>
      </c>
      <c r="J904" t="n">
        <v>0.308969062606241</v>
      </c>
      <c r="K904" t="n">
        <v>0.0937438386774239</v>
      </c>
      <c r="L904" t="b">
        <v>0</v>
      </c>
      <c r="M904" t="b">
        <v>0</v>
      </c>
      <c r="N904" t="inlineStr">
        <is>
          <t>ref</t>
        </is>
      </c>
      <c r="O904" t="n">
        <v>-15</v>
      </c>
      <c r="P904" t="n">
        <v>0.001389</v>
      </c>
      <c r="Q904" t="n">
        <v>-20</v>
      </c>
      <c r="R904" t="n">
        <v>0.09143</v>
      </c>
      <c r="S904">
        <f>IMAGE("https://mitra.stanford.edu/kundaje/oak/projects/neuro-variants/variant_position/credible/roussos_2024/variant_figures/roussos_2024.childhood.GLU/rs36167334_count_position.png",4,220,900)</f>
        <v/>
      </c>
      <c r="T904">
        <f>IMAGE("https://mitra.stanford.edu/kundaje/oak/projects/neuro-variants/variant_position/credible/roussos_2024/variant_figures/roussos_2024.childhood.GLU/rs36167334_profile_position.png",4,220,900)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0.0222494488</v>
      </c>
      <c r="G905" t="n">
        <v>0.4222064656560979</v>
      </c>
      <c r="H905" t="n">
        <v>0.0472222333197501</v>
      </c>
      <c r="I905" t="n">
        <v>0.0034388627840775</v>
      </c>
      <c r="J905" t="n">
        <v>0.0204188859241554</v>
      </c>
      <c r="K905" t="n">
        <v>0.4868817684220267</v>
      </c>
      <c r="L905" t="b">
        <v>1</v>
      </c>
      <c r="M905" t="b">
        <v>0</v>
      </c>
      <c r="N905" t="inlineStr">
        <is>
          <t>alt</t>
        </is>
      </c>
      <c r="O905" t="n">
        <v>40</v>
      </c>
      <c r="P905" t="n">
        <v>0.00415</v>
      </c>
      <c r="Q905" t="n">
        <v>-25</v>
      </c>
      <c r="R905" t="n">
        <v>0.01978</v>
      </c>
      <c r="S905">
        <f>IMAGE("https://mitra.stanford.edu/kundaje/oak/projects/neuro-variants/variant_position/credible/roussos_2024/variant_figures/roussos_2024.childhood.GLU/rs146055085_count_position.png",4,220,900)</f>
        <v/>
      </c>
      <c r="T905">
        <f>IMAGE("https://mitra.stanford.edu/kundaje/oak/projects/neuro-variants/variant_position/credible/roussos_2024/variant_figures/roussos_2024.childhood.GLU/rs146055085_profile_position.png",4,220,900)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0.0896960208</v>
      </c>
      <c r="G906" t="n">
        <v>0.0615661458684843</v>
      </c>
      <c r="H906" t="n">
        <v>0.0204115797071816</v>
      </c>
      <c r="I906" t="n">
        <v>0.09158677788968431</v>
      </c>
      <c r="J906" t="n">
        <v>0.3230871459919436</v>
      </c>
      <c r="K906" t="n">
        <v>0.08850766337441179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0.01797</v>
      </c>
      <c r="Q906" t="n">
        <v>100</v>
      </c>
      <c r="R906" t="n">
        <v>0.164</v>
      </c>
      <c r="S906">
        <f>IMAGE("https://mitra.stanford.edu/kundaje/oak/projects/neuro-variants/variant_position/credible/roussos_2024/variant_figures/roussos_2024.childhood.GLU/rs373281699_count_position.png",4,220,900)</f>
        <v/>
      </c>
      <c r="T906">
        <f>IMAGE("https://mitra.stanford.edu/kundaje/oak/projects/neuro-variants/variant_position/credible/roussos_2024/variant_figures/roussos_2024.childhood.GLU/rs373281699_profile_position.png",4,220,900)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-0.0156439061</v>
      </c>
      <c r="G907" t="n">
        <v>0.5464529354048475</v>
      </c>
      <c r="H907" t="n">
        <v>0.033266370976272</v>
      </c>
      <c r="I907" t="n">
        <v>0.0140592652103525</v>
      </c>
      <c r="J907" t="n">
        <v>0.0361224721068951</v>
      </c>
      <c r="K907" t="n">
        <v>0.410428533320816</v>
      </c>
      <c r="L907" t="b">
        <v>1</v>
      </c>
      <c r="M907" t="b">
        <v>0</v>
      </c>
      <c r="N907" t="inlineStr">
        <is>
          <t>ref</t>
        </is>
      </c>
      <c r="O907" t="n">
        <v>-100</v>
      </c>
      <c r="P907" t="n">
        <v>0.03928</v>
      </c>
      <c r="Q907" t="n">
        <v>-10</v>
      </c>
      <c r="R907" t="n">
        <v>0.01306</v>
      </c>
      <c r="S907">
        <f>IMAGE("https://mitra.stanford.edu/kundaje/oak/projects/neuro-variants/variant_position/credible/roussos_2024/variant_figures/roussos_2024.childhood.GLU/rs374837345_count_position.png",4,220,900)</f>
        <v/>
      </c>
      <c r="T907">
        <f>IMAGE("https://mitra.stanford.edu/kundaje/oak/projects/neuro-variants/variant_position/credible/roussos_2024/variant_figures/roussos_2024.childhood.GLU/rs374837345_profile_position.png",4,220,900)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0.0482314783999999</v>
      </c>
      <c r="G908" t="n">
        <v>0.1798768537295154</v>
      </c>
      <c r="H908" t="n">
        <v>0.0127415449063652</v>
      </c>
      <c r="I908" t="n">
        <v>0.3924902617464752</v>
      </c>
      <c r="J908" t="n">
        <v>0.1159776237032152</v>
      </c>
      <c r="K908" t="n">
        <v>0.2281999224570396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0.01089</v>
      </c>
      <c r="Q908" t="n">
        <v>-100</v>
      </c>
      <c r="R908" t="n">
        <v>0.08309999999999999</v>
      </c>
      <c r="S908">
        <f>IMAGE("https://mitra.stanford.edu/kundaje/oak/projects/neuro-variants/variant_position/credible/roussos_2024/variant_figures/roussos_2024.childhood.GLU/rs28421373_count_position.png",4,220,900)</f>
        <v/>
      </c>
      <c r="T908">
        <f>IMAGE("https://mitra.stanford.edu/kundaje/oak/projects/neuro-variants/variant_position/credible/roussos_2024/variant_figures/roussos_2024.childhood.GLU/rs28421373_profile_position.png",4,220,900)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-0.0193274365999999</v>
      </c>
      <c r="G909" t="n">
        <v>0.460727458112758</v>
      </c>
      <c r="H909" t="n">
        <v>0.0137055323946888</v>
      </c>
      <c r="I909" t="n">
        <v>0.3386135981027032</v>
      </c>
      <c r="J909" t="n">
        <v>0.2126634180514489</v>
      </c>
      <c r="K909" t="n">
        <v>0.1410021805239842</v>
      </c>
      <c r="L909" t="b">
        <v>0</v>
      </c>
      <c r="M909" t="b">
        <v>0</v>
      </c>
      <c r="N909" t="inlineStr">
        <is>
          <t>ref</t>
        </is>
      </c>
      <c r="O909" t="n">
        <v>-65</v>
      </c>
      <c r="P909" t="n">
        <v>0.00412</v>
      </c>
      <c r="Q909" t="n">
        <v>-95</v>
      </c>
      <c r="R909" t="n">
        <v>0.4202</v>
      </c>
      <c r="S909">
        <f>IMAGE("https://mitra.stanford.edu/kundaje/oak/projects/neuro-variants/variant_position/credible/roussos_2024/variant_figures/roussos_2024.childhood.GLU/rs28430881_count_position.png",4,220,900)</f>
        <v/>
      </c>
      <c r="T909">
        <f>IMAGE("https://mitra.stanford.edu/kundaje/oak/projects/neuro-variants/variant_position/credible/roussos_2024/variant_figures/roussos_2024.childhood.GLU/rs28430881_profile_position.png",4,220,900)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-0.0134769163199999</v>
      </c>
      <c r="G910" t="n">
        <v>0.5125035291656164</v>
      </c>
      <c r="H910" t="n">
        <v>0.063853299595284</v>
      </c>
      <c r="I910" t="n">
        <v>0.0010787708362274</v>
      </c>
      <c r="J910" t="n">
        <v>0.0839461402948478</v>
      </c>
      <c r="K910" t="n">
        <v>0.2738288903339647</v>
      </c>
      <c r="L910" t="b">
        <v>1</v>
      </c>
      <c r="M910" t="b">
        <v>1</v>
      </c>
      <c r="N910" t="inlineStr">
        <is>
          <t>ref</t>
        </is>
      </c>
      <c r="O910" t="n">
        <v>-55</v>
      </c>
      <c r="P910" t="n">
        <v>0.003525</v>
      </c>
      <c r="Q910" t="n">
        <v>90</v>
      </c>
      <c r="R910" t="n">
        <v>0.02785</v>
      </c>
      <c r="S910">
        <f>IMAGE("https://mitra.stanford.edu/kundaje/oak/projects/neuro-variants/variant_position/credible/roussos_2024/variant_figures/roussos_2024.childhood.GLU/rs28498376_count_position.png",4,220,900)</f>
        <v/>
      </c>
      <c r="T910">
        <f>IMAGE("https://mitra.stanford.edu/kundaje/oak/projects/neuro-variants/variant_position/credible/roussos_2024/variant_figures/roussos_2024.childhood.GLU/rs28498376_profile_position.png",4,220,900)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0.01466329454</v>
      </c>
      <c r="G911" t="n">
        <v>0.5120443243762157</v>
      </c>
      <c r="H911" t="n">
        <v>0.008814292945117199</v>
      </c>
      <c r="I911" t="n">
        <v>0.8002758125560117</v>
      </c>
      <c r="J911" t="n">
        <v>0.1998454675636415</v>
      </c>
      <c r="K911" t="n">
        <v>0.1492856837487932</v>
      </c>
      <c r="L911" t="b">
        <v>0</v>
      </c>
      <c r="M911" t="b">
        <v>0</v>
      </c>
      <c r="N911" t="inlineStr">
        <is>
          <t>alt</t>
        </is>
      </c>
      <c r="O911" t="n">
        <v>-80</v>
      </c>
      <c r="P911" t="n">
        <v>0.01293</v>
      </c>
      <c r="Q911" t="n">
        <v>-100</v>
      </c>
      <c r="R911" t="n">
        <v>0.1769</v>
      </c>
      <c r="S911">
        <f>IMAGE("https://mitra.stanford.edu/kundaje/oak/projects/neuro-variants/variant_position/credible/roussos_2024/variant_figures/roussos_2024.childhood.GLU/rs28478366_count_position.png",4,220,900)</f>
        <v/>
      </c>
      <c r="T911">
        <f>IMAGE("https://mitra.stanford.edu/kundaje/oak/projects/neuro-variants/variant_position/credible/roussos_2024/variant_figures/roussos_2024.childhood.GLU/rs28478366_profile_position.png",4,220,900)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-0.0280619348</v>
      </c>
      <c r="G912" t="n">
        <v>0.3735694084092956</v>
      </c>
      <c r="H912" t="n">
        <v>0.0104857681241726</v>
      </c>
      <c r="I912" t="n">
        <v>0.6092438071600167</v>
      </c>
      <c r="J912" t="n">
        <v>0.2011322076503857</v>
      </c>
      <c r="K912" t="n">
        <v>0.1485309630472476</v>
      </c>
      <c r="L912" t="b">
        <v>0</v>
      </c>
      <c r="M912" t="b">
        <v>0</v>
      </c>
      <c r="N912" t="inlineStr">
        <is>
          <t>ref</t>
        </is>
      </c>
      <c r="O912" t="n">
        <v>-40</v>
      </c>
      <c r="P912" t="n">
        <v>0.003113</v>
      </c>
      <c r="Q912" t="n">
        <v>-90</v>
      </c>
      <c r="R912" t="n">
        <v>0.08169999999999999</v>
      </c>
      <c r="S912">
        <f>IMAGE("https://mitra.stanford.edu/kundaje/oak/projects/neuro-variants/variant_position/credible/roussos_2024/variant_figures/roussos_2024.childhood.GLU/rs11059094_count_position.png",4,220,900)</f>
        <v/>
      </c>
      <c r="T912">
        <f>IMAGE("https://mitra.stanford.edu/kundaje/oak/projects/neuro-variants/variant_position/credible/roussos_2024/variant_figures/roussos_2024.childhood.GLU/rs11059094_profile_position.png",4,220,900)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0.0042547587599999</v>
      </c>
      <c r="G913" t="n">
        <v>0.727239152287965</v>
      </c>
      <c r="H913" t="n">
        <v>0.0081741152328946</v>
      </c>
      <c r="I913" t="n">
        <v>0.8526460928610912</v>
      </c>
      <c r="J913" t="n">
        <v>0.6294435802074855</v>
      </c>
      <c r="K913" t="n">
        <v>0.0229246350742232</v>
      </c>
      <c r="L913" t="b">
        <v>0</v>
      </c>
      <c r="M913" t="b">
        <v>0</v>
      </c>
      <c r="N913" t="inlineStr">
        <is>
          <t>alt</t>
        </is>
      </c>
      <c r="O913" t="n">
        <v>-50</v>
      </c>
      <c r="P913" t="n">
        <v>0.003109</v>
      </c>
      <c r="Q913" t="n">
        <v>100</v>
      </c>
      <c r="R913" t="n">
        <v>0.1132</v>
      </c>
      <c r="S913">
        <f>IMAGE("https://mitra.stanford.edu/kundaje/oak/projects/neuro-variants/variant_position/credible/roussos_2024/variant_figures/roussos_2024.childhood.GLU/rs11609875_count_position.png",4,220,900)</f>
        <v/>
      </c>
      <c r="T913">
        <f>IMAGE("https://mitra.stanford.edu/kundaje/oak/projects/neuro-variants/variant_position/credible/roussos_2024/variant_figures/roussos_2024.childhood.GLU/rs11609875_profile_position.png",4,220,900)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-0.00936091444</v>
      </c>
      <c r="G914" t="n">
        <v>0.6553706895786341</v>
      </c>
      <c r="H914" t="n">
        <v>0.0120953715353716</v>
      </c>
      <c r="I914" t="n">
        <v>0.4445551399584749</v>
      </c>
      <c r="J914" t="n">
        <v>0.4893248992963623</v>
      </c>
      <c r="K914" t="n">
        <v>0.0446954838170186</v>
      </c>
      <c r="L914" t="b">
        <v>0</v>
      </c>
      <c r="M914" t="b">
        <v>0</v>
      </c>
      <c r="N914" t="inlineStr">
        <is>
          <t>ref</t>
        </is>
      </c>
      <c r="O914" t="n">
        <v>35</v>
      </c>
      <c r="P914" t="n">
        <v>0.02151</v>
      </c>
      <c r="Q914" t="n">
        <v>-100</v>
      </c>
      <c r="R914" t="n">
        <v>0.2318</v>
      </c>
      <c r="S914">
        <f>IMAGE("https://mitra.stanford.edu/kundaje/oak/projects/neuro-variants/variant_position/credible/roussos_2024/variant_figures/roussos_2024.childhood.GLU/rs11057905_count_position.png",4,220,900)</f>
        <v/>
      </c>
      <c r="T914">
        <f>IMAGE("https://mitra.stanford.edu/kundaje/oak/projects/neuro-variants/variant_position/credible/roussos_2024/variant_figures/roussos_2024.childhood.GLU/rs11057905_profile_position.png",4,220,900)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-0.123549428</v>
      </c>
      <c r="G915" t="n">
        <v>0.0274994960690005</v>
      </c>
      <c r="H915" t="n">
        <v>0.0154121873586293</v>
      </c>
      <c r="I915" t="n">
        <v>0.229257993499651</v>
      </c>
      <c r="J915" t="n">
        <v>0.2337313402083097</v>
      </c>
      <c r="K915" t="n">
        <v>0.1277200921300956</v>
      </c>
      <c r="L915" t="b">
        <v>0</v>
      </c>
      <c r="M915" t="b">
        <v>0</v>
      </c>
      <c r="N915" t="inlineStr">
        <is>
          <t>ref</t>
        </is>
      </c>
      <c r="O915" t="n">
        <v>45</v>
      </c>
      <c r="P915" t="n">
        <v>0.001221</v>
      </c>
      <c r="Q915" t="n">
        <v>-100</v>
      </c>
      <c r="R915" t="n">
        <v>0.05286</v>
      </c>
      <c r="S915">
        <f>IMAGE("https://mitra.stanford.edu/kundaje/oak/projects/neuro-variants/variant_position/credible/roussos_2024/variant_figures/roussos_2024.childhood.GLU/rs114490539_count_position.png",4,220,900)</f>
        <v/>
      </c>
      <c r="T915">
        <f>IMAGE("https://mitra.stanford.edu/kundaje/oak/projects/neuro-variants/variant_position/credible/roussos_2024/variant_figures/roussos_2024.childhood.GLU/rs114490539_profile_position.png",4,220,900)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-0.00036332536</v>
      </c>
      <c r="G916" t="n">
        <v>0.5987658040718417</v>
      </c>
      <c r="H916" t="n">
        <v>0.0111861003825464</v>
      </c>
      <c r="I916" t="n">
        <v>0.5368182117788012</v>
      </c>
      <c r="J916" t="n">
        <v>0.2439150277643277</v>
      </c>
      <c r="K916" t="n">
        <v>0.1224704551508887</v>
      </c>
      <c r="L916" t="b">
        <v>0</v>
      </c>
      <c r="M916" t="b">
        <v>0</v>
      </c>
      <c r="N916" t="inlineStr">
        <is>
          <t>ref</t>
        </is>
      </c>
      <c r="O916" t="n">
        <v>-100</v>
      </c>
      <c r="P916" t="n">
        <v>0.03564</v>
      </c>
      <c r="Q916" t="n">
        <v>55</v>
      </c>
      <c r="R916" t="n">
        <v>0.0499</v>
      </c>
      <c r="S916">
        <f>IMAGE("https://mitra.stanford.edu/kundaje/oak/projects/neuro-variants/variant_position/credible/roussos_2024/variant_figures/roussos_2024.childhood.GLU/rs4758691_count_position.png",4,220,900)</f>
        <v/>
      </c>
      <c r="T916">
        <f>IMAGE("https://mitra.stanford.edu/kundaje/oak/projects/neuro-variants/variant_position/credible/roussos_2024/variant_figures/roussos_2024.childhood.GLU/rs4758691_profile_position.png",4,220,900)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-0.1046569292</v>
      </c>
      <c r="G917" t="n">
        <v>0.0435444489786208</v>
      </c>
      <c r="H917" t="n">
        <v>0.0152601525460079</v>
      </c>
      <c r="I917" t="n">
        <v>0.2346762848923327</v>
      </c>
      <c r="J917" t="n">
        <v>0.265116878032699</v>
      </c>
      <c r="K917" t="n">
        <v>0.1118826549003341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0.01663</v>
      </c>
      <c r="Q917" t="n">
        <v>-100</v>
      </c>
      <c r="R917" t="n">
        <v>0.09279999999999999</v>
      </c>
      <c r="S917">
        <f>IMAGE("https://mitra.stanford.edu/kundaje/oak/projects/neuro-variants/variant_position/credible/roussos_2024/variant_figures/roussos_2024.childhood.GLU/rs4758690_count_position.png",4,220,900)</f>
        <v/>
      </c>
      <c r="T917">
        <f>IMAGE("https://mitra.stanford.edu/kundaje/oak/projects/neuro-variants/variant_position/credible/roussos_2024/variant_figures/roussos_2024.childhood.GLU/rs4758690_profile_position.png",4,220,900)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-0.008787546699999999</v>
      </c>
      <c r="G918" t="n">
        <v>0.7022580552316502</v>
      </c>
      <c r="H918" t="n">
        <v>0.0101576695642106</v>
      </c>
      <c r="I918" t="n">
        <v>0.6284108205378148</v>
      </c>
      <c r="J918" t="n">
        <v>0.2700753088073186</v>
      </c>
      <c r="K918" t="n">
        <v>0.1096882322658776</v>
      </c>
      <c r="L918" t="b">
        <v>0</v>
      </c>
      <c r="M918" t="b">
        <v>0</v>
      </c>
      <c r="N918" t="inlineStr">
        <is>
          <t>ref</t>
        </is>
      </c>
      <c r="O918" t="n">
        <v>60</v>
      </c>
      <c r="P918" t="n">
        <v>0.006145</v>
      </c>
      <c r="Q918" t="n">
        <v>-80</v>
      </c>
      <c r="R918" t="n">
        <v>0.139</v>
      </c>
      <c r="S918">
        <f>IMAGE("https://mitra.stanford.edu/kundaje/oak/projects/neuro-variants/variant_position/credible/roussos_2024/variant_figures/roussos_2024.childhood.GLU/rs7485421_count_position.png",4,220,900)</f>
        <v/>
      </c>
      <c r="T918">
        <f>IMAGE("https://mitra.stanford.edu/kundaje/oak/projects/neuro-variants/variant_position/credible/roussos_2024/variant_figures/roussos_2024.childhood.GLU/rs7485421_profile_position.png",4,220,900)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0.028297024788</v>
      </c>
      <c r="G919" t="n">
        <v>0.3615064852009524</v>
      </c>
      <c r="H919" t="n">
        <v>0.0124639257149598</v>
      </c>
      <c r="I919" t="n">
        <v>0.405360004160966</v>
      </c>
      <c r="J919" t="n">
        <v>0.2171943090854769</v>
      </c>
      <c r="K919" t="n">
        <v>0.1384262383999141</v>
      </c>
      <c r="L919" t="b">
        <v>0</v>
      </c>
      <c r="M919" t="b">
        <v>0</v>
      </c>
      <c r="N919" t="inlineStr">
        <is>
          <t>alt</t>
        </is>
      </c>
      <c r="O919" t="n">
        <v>-75</v>
      </c>
      <c r="P919" t="n">
        <v>0.01114</v>
      </c>
      <c r="Q919" t="n">
        <v>50</v>
      </c>
      <c r="R919" t="n">
        <v>0.06525</v>
      </c>
      <c r="S919">
        <f>IMAGE("https://mitra.stanford.edu/kundaje/oak/projects/neuro-variants/variant_position/credible/roussos_2024/variant_figures/roussos_2024.childhood.GLU/rs6489242_count_position.png",4,220,900)</f>
        <v/>
      </c>
      <c r="T919">
        <f>IMAGE("https://mitra.stanford.edu/kundaje/oak/projects/neuro-variants/variant_position/credible/roussos_2024/variant_figures/roussos_2024.childhood.GLU/rs6489242_profile_position.png",4,220,900)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0.00615618896</v>
      </c>
      <c r="G920" t="n">
        <v>0.5855065295739327</v>
      </c>
      <c r="H920" t="n">
        <v>0.0102235926183315</v>
      </c>
      <c r="I920" t="n">
        <v>0.6284344828975922</v>
      </c>
      <c r="J920" t="n">
        <v>0.5337251589108554</v>
      </c>
      <c r="K920" t="n">
        <v>0.0363255536038943</v>
      </c>
      <c r="L920" t="b">
        <v>0</v>
      </c>
      <c r="M920" t="b">
        <v>0</v>
      </c>
      <c r="N920" t="inlineStr">
        <is>
          <t>alt</t>
        </is>
      </c>
      <c r="O920" t="n">
        <v>35</v>
      </c>
      <c r="P920" t="n">
        <v>0.001354</v>
      </c>
      <c r="Q920" t="n">
        <v>-10</v>
      </c>
      <c r="R920" t="n">
        <v>0.03076</v>
      </c>
      <c r="S920">
        <f>IMAGE("https://mitra.stanford.edu/kundaje/oak/projects/neuro-variants/variant_position/credible/roussos_2024/variant_figures/roussos_2024.childhood.GLU/rs7488268_count_position.png",4,220,900)</f>
        <v/>
      </c>
      <c r="T920">
        <f>IMAGE("https://mitra.stanford.edu/kundaje/oak/projects/neuro-variants/variant_position/credible/roussos_2024/variant_figures/roussos_2024.childhood.GLU/rs7488268_profile_position.png",4,220,900)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-0.0104619626</v>
      </c>
      <c r="G921" t="n">
        <v>0.5694904888931663</v>
      </c>
      <c r="H921" t="n">
        <v>0.0099243312270229</v>
      </c>
      <c r="I921" t="n">
        <v>0.6679071068783284</v>
      </c>
      <c r="J921" t="n">
        <v>0.6762277602068674</v>
      </c>
      <c r="K921" t="n">
        <v>0.0173601766263188</v>
      </c>
      <c r="L921" t="b">
        <v>0</v>
      </c>
      <c r="M921" t="b">
        <v>0</v>
      </c>
      <c r="N921" t="inlineStr">
        <is>
          <t>ref</t>
        </is>
      </c>
      <c r="O921" t="n">
        <v>-100</v>
      </c>
      <c r="P921" t="n">
        <v>0.02852</v>
      </c>
      <c r="Q921" t="n">
        <v>-55</v>
      </c>
      <c r="R921" t="n">
        <v>0.2368</v>
      </c>
      <c r="S921">
        <f>IMAGE("https://mitra.stanford.edu/kundaje/oak/projects/neuro-variants/variant_position/credible/roussos_2024/variant_figures/roussos_2024.childhood.GLU/rs4758686_count_position.png",4,220,900)</f>
        <v/>
      </c>
      <c r="T921">
        <f>IMAGE("https://mitra.stanford.edu/kundaje/oak/projects/neuro-variants/variant_position/credible/roussos_2024/variant_figures/roussos_2024.childhood.GLU/rs4758686_profile_position.png",4,220,900)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-0.0346186063999999</v>
      </c>
      <c r="G922" t="n">
        <v>0.2991314809254122</v>
      </c>
      <c r="H922" t="n">
        <v>0.039305636233586</v>
      </c>
      <c r="I922" t="n">
        <v>0.0076647982603983</v>
      </c>
      <c r="J922" t="n">
        <v>0.4471571182791268</v>
      </c>
      <c r="K922" t="n">
        <v>0.0529412625218359</v>
      </c>
      <c r="L922" t="b">
        <v>1</v>
      </c>
      <c r="M922" t="b">
        <v>1</v>
      </c>
      <c r="N922" t="inlineStr">
        <is>
          <t>ref</t>
        </is>
      </c>
      <c r="O922" t="n">
        <v>-15</v>
      </c>
      <c r="P922" t="n">
        <v>0.000717</v>
      </c>
      <c r="Q922" t="n">
        <v>0</v>
      </c>
      <c r="R922" t="n">
        <v>0</v>
      </c>
      <c r="S922">
        <f>IMAGE("https://mitra.stanford.edu/kundaje/oak/projects/neuro-variants/variant_position/credible/roussos_2024/variant_figures/roussos_2024.childhood.GLU/rs11057509_count_position.png",4,220,900)</f>
        <v/>
      </c>
      <c r="T922">
        <f>IMAGE("https://mitra.stanford.edu/kundaje/oak/projects/neuro-variants/variant_position/credible/roussos_2024/variant_figures/roussos_2024.childhood.GLU/rs11057509_profile_position.png",4,220,900)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0.0979341262</v>
      </c>
      <c r="G923" t="n">
        <v>0.0486906337838235</v>
      </c>
      <c r="H923" t="n">
        <v>0.0174671771920885</v>
      </c>
      <c r="I923" t="n">
        <v>0.153746164274606</v>
      </c>
      <c r="J923" t="n">
        <v>0.5667920096428241</v>
      </c>
      <c r="K923" t="n">
        <v>0.0311705446808368</v>
      </c>
      <c r="L923" t="b">
        <v>0</v>
      </c>
      <c r="M923" t="b">
        <v>0</v>
      </c>
      <c r="N923" t="inlineStr">
        <is>
          <t>alt</t>
        </is>
      </c>
      <c r="O923" t="n">
        <v>70</v>
      </c>
      <c r="P923" t="n">
        <v>0.01056</v>
      </c>
      <c r="Q923" t="n">
        <v>70</v>
      </c>
      <c r="R923" t="n">
        <v>0.144</v>
      </c>
      <c r="S923">
        <f>IMAGE("https://mitra.stanford.edu/kundaje/oak/projects/neuro-variants/variant_position/credible/roussos_2024/variant_figures/roussos_2024.childhood.GLU/rs1047796_count_position.png",4,220,900)</f>
        <v/>
      </c>
      <c r="T923">
        <f>IMAGE("https://mitra.stanford.edu/kundaje/oak/projects/neuro-variants/variant_position/credible/roussos_2024/variant_figures/roussos_2024.childhood.GLU/rs1047796_profile_position.png",4,220,900)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-0.0231709178</v>
      </c>
      <c r="G924" t="n">
        <v>0.4279444128494167</v>
      </c>
      <c r="H924" t="n">
        <v>0.0175843790446594</v>
      </c>
      <c r="I924" t="n">
        <v>0.1501536966320065</v>
      </c>
      <c r="J924" t="n">
        <v>0.08428714187107871</v>
      </c>
      <c r="K924" t="n">
        <v>0.2700581488402649</v>
      </c>
      <c r="L924" t="b">
        <v>0</v>
      </c>
      <c r="M924" t="b">
        <v>0</v>
      </c>
      <c r="N924" t="inlineStr">
        <is>
          <t>ref</t>
        </is>
      </c>
      <c r="O924" t="n">
        <v>-65</v>
      </c>
      <c r="P924" t="n">
        <v>0.00818</v>
      </c>
      <c r="Q924" t="n">
        <v>-100</v>
      </c>
      <c r="R924" t="n">
        <v>0.05908</v>
      </c>
      <c r="S924">
        <f>IMAGE("https://mitra.stanford.edu/kundaje/oak/projects/neuro-variants/variant_position/credible/roussos_2024/variant_figures/roussos_2024.childhood.GLU/rs11057249_count_position.png",4,220,900)</f>
        <v/>
      </c>
      <c r="T924">
        <f>IMAGE("https://mitra.stanford.edu/kundaje/oak/projects/neuro-variants/variant_position/credible/roussos_2024/variant_figures/roussos_2024.childhood.GLU/rs11057249_profile_position.png",4,220,900)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-0.0479238883999999</v>
      </c>
      <c r="G925" t="n">
        <v>0.2045688723099698</v>
      </c>
      <c r="H925" t="n">
        <v>0.0100523998581313</v>
      </c>
      <c r="I925" t="n">
        <v>0.6601169393419826</v>
      </c>
      <c r="J925" t="n">
        <v>0.7183090030597422</v>
      </c>
      <c r="K925" t="n">
        <v>0.0133507363004813</v>
      </c>
      <c r="L925" t="b">
        <v>0</v>
      </c>
      <c r="M925" t="b">
        <v>0</v>
      </c>
      <c r="N925" t="inlineStr">
        <is>
          <t>ref</t>
        </is>
      </c>
      <c r="O925" t="n">
        <v>100</v>
      </c>
      <c r="P925" t="n">
        <v>0.005936</v>
      </c>
      <c r="Q925" t="n">
        <v>100</v>
      </c>
      <c r="R925" t="n">
        <v>0.0654</v>
      </c>
      <c r="S925">
        <f>IMAGE("https://mitra.stanford.edu/kundaje/oak/projects/neuro-variants/variant_position/credible/roussos_2024/variant_figures/roussos_2024.childhood.GLU/rs12298151_count_position.png",4,220,900)</f>
        <v/>
      </c>
      <c r="T925">
        <f>IMAGE("https://mitra.stanford.edu/kundaje/oak/projects/neuro-variants/variant_position/credible/roussos_2024/variant_figures/roussos_2024.childhood.GLU/rs12298151_profile_position.png",4,220,900)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0.0263378765199999</v>
      </c>
      <c r="G926" t="n">
        <v>0.3862039809154308</v>
      </c>
      <c r="H926" t="n">
        <v>0.010730055175667</v>
      </c>
      <c r="I926" t="n">
        <v>0.5732795228792171</v>
      </c>
      <c r="J926" t="n">
        <v>0.290118165803002</v>
      </c>
      <c r="K926" t="n">
        <v>0.1006054612151374</v>
      </c>
      <c r="L926" t="b">
        <v>0</v>
      </c>
      <c r="M926" t="b">
        <v>0</v>
      </c>
      <c r="N926" t="inlineStr">
        <is>
          <t>alt</t>
        </is>
      </c>
      <c r="O926" t="n">
        <v>-100</v>
      </c>
      <c r="P926" t="n">
        <v>0.010216</v>
      </c>
      <c r="Q926" t="n">
        <v>-60</v>
      </c>
      <c r="R926" t="n">
        <v>0.0629</v>
      </c>
      <c r="S926">
        <f>IMAGE("https://mitra.stanford.edu/kundaje/oak/projects/neuro-variants/variant_position/credible/roussos_2024/variant_figures/roussos_2024.childhood.GLU/rs4275659_count_position.png",4,220,900)</f>
        <v/>
      </c>
      <c r="T926">
        <f>IMAGE("https://mitra.stanford.edu/kundaje/oak/projects/neuro-variants/variant_position/credible/roussos_2024/variant_figures/roussos_2024.childhood.GLU/rs4275659_profile_position.png",4,220,900)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-0.0402424426</v>
      </c>
      <c r="G927" t="n">
        <v>0.2471301361936177</v>
      </c>
      <c r="H927" t="n">
        <v>0.0147179819256821</v>
      </c>
      <c r="I927" t="n">
        <v>0.2605189322140005</v>
      </c>
      <c r="J927" t="n">
        <v>0.93107544273543</v>
      </c>
      <c r="K927" t="n">
        <v>0.0007585382664099</v>
      </c>
      <c r="L927" t="b">
        <v>0</v>
      </c>
      <c r="M927" t="b">
        <v>0</v>
      </c>
      <c r="N927" t="inlineStr">
        <is>
          <t>ref</t>
        </is>
      </c>
      <c r="O927" t="n">
        <v>20</v>
      </c>
      <c r="P927" t="n">
        <v>0.0009155</v>
      </c>
      <c r="Q927" t="n">
        <v>60</v>
      </c>
      <c r="R927" t="n">
        <v>0.05957</v>
      </c>
      <c r="S927">
        <f>IMAGE("https://mitra.stanford.edu/kundaje/oak/projects/neuro-variants/variant_position/credible/roussos_2024/variant_figures/roussos_2024.childhood.GLU/rs61955196_count_position.png",4,220,900)</f>
        <v/>
      </c>
      <c r="T927">
        <f>IMAGE("https://mitra.stanford.edu/kundaje/oak/projects/neuro-variants/variant_position/credible/roussos_2024/variant_figures/roussos_2024.childhood.GLU/rs61955196_profile_position.png",4,220,900)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0.0140453973</v>
      </c>
      <c r="G928" t="n">
        <v>0.5398302092178131</v>
      </c>
      <c r="H928" t="n">
        <v>0.0165767711586204</v>
      </c>
      <c r="I928" t="n">
        <v>0.1812165497636202</v>
      </c>
      <c r="J928" t="n">
        <v>0.6931634850155046</v>
      </c>
      <c r="K928" t="n">
        <v>0.0156689446815466</v>
      </c>
      <c r="L928" t="b">
        <v>0</v>
      </c>
      <c r="M928" t="b">
        <v>0</v>
      </c>
      <c r="N928" t="inlineStr">
        <is>
          <t>alt</t>
        </is>
      </c>
      <c r="O928" t="n">
        <v>0</v>
      </c>
      <c r="P928" t="n">
        <v>0</v>
      </c>
      <c r="Q928" t="n">
        <v>100</v>
      </c>
      <c r="R928" t="n">
        <v>0.2161</v>
      </c>
      <c r="S928">
        <f>IMAGE("https://mitra.stanford.edu/kundaje/oak/projects/neuro-variants/variant_position/credible/roussos_2024/variant_figures/roussos_2024.childhood.GLU/rs3741530_count_position.png",4,220,900)</f>
        <v/>
      </c>
      <c r="T928">
        <f>IMAGE("https://mitra.stanford.edu/kundaje/oak/projects/neuro-variants/variant_position/credible/roussos_2024/variant_figures/roussos_2024.childhood.GLU/rs3741530_profile_position.png",4,220,900)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-0.04181063708</v>
      </c>
      <c r="G929" t="n">
        <v>0.2333512070376055</v>
      </c>
      <c r="H929" t="n">
        <v>0.0159872564220807</v>
      </c>
      <c r="I929" t="n">
        <v>0.2096513776285519</v>
      </c>
      <c r="J929" t="n">
        <v>0.0155222681240792</v>
      </c>
      <c r="K929" t="n">
        <v>0.5385467216518025</v>
      </c>
      <c r="L929" t="b">
        <v>0</v>
      </c>
      <c r="M929" t="b">
        <v>0</v>
      </c>
      <c r="N929" t="inlineStr">
        <is>
          <t>ref</t>
        </is>
      </c>
      <c r="O929" t="n">
        <v>-90</v>
      </c>
      <c r="P929" t="n">
        <v>0.00903</v>
      </c>
      <c r="Q929" t="n">
        <v>-5</v>
      </c>
      <c r="R929" t="n">
        <v>0.01074</v>
      </c>
      <c r="S929">
        <f>IMAGE("https://mitra.stanford.edu/kundaje/oak/projects/neuro-variants/variant_position/credible/roussos_2024/variant_figures/roussos_2024.childhood.GLU/rs12425850_count_position.png",4,220,900)</f>
        <v/>
      </c>
      <c r="T929">
        <f>IMAGE("https://mitra.stanford.edu/kundaje/oak/projects/neuro-variants/variant_position/credible/roussos_2024/variant_figures/roussos_2024.childhood.GLU/rs12425850_profile_position.png",4,220,900)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0.02397792074</v>
      </c>
      <c r="G930" t="n">
        <v>0.3756019581061056</v>
      </c>
      <c r="H930" t="n">
        <v>0.009093059214706401</v>
      </c>
      <c r="I930" t="n">
        <v>0.7455397711710933</v>
      </c>
      <c r="J930" t="n">
        <v>0.1210339250208618</v>
      </c>
      <c r="K930" t="n">
        <v>0.2218795945565357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0.001507</v>
      </c>
      <c r="Q930" t="n">
        <v>45</v>
      </c>
      <c r="R930" t="n">
        <v>0.05652</v>
      </c>
      <c r="S930">
        <f>IMAGE("https://mitra.stanford.edu/kundaje/oak/projects/neuro-variants/variant_position/credible/roussos_2024/variant_figures/roussos_2024.childhood.GLU/rs1790094_count_position.png",4,220,900)</f>
        <v/>
      </c>
      <c r="T930">
        <f>IMAGE("https://mitra.stanford.edu/kundaje/oak/projects/neuro-variants/variant_position/credible/roussos_2024/variant_figures/roussos_2024.childhood.GLU/rs1790094_profile_position.png",4,220,900)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0.00329463874</v>
      </c>
      <c r="G931" t="n">
        <v>0.8141674462200094</v>
      </c>
      <c r="H931" t="n">
        <v>0.0071960550324374</v>
      </c>
      <c r="I931" t="n">
        <v>0.92363517989946</v>
      </c>
      <c r="J931" t="n">
        <v>0.0989296053241575</v>
      </c>
      <c r="K931" t="n">
        <v>0.2499687447667239</v>
      </c>
      <c r="L931" t="b">
        <v>0</v>
      </c>
      <c r="M931" t="b">
        <v>0</v>
      </c>
      <c r="N931" t="inlineStr">
        <is>
          <t>alt</t>
        </is>
      </c>
      <c r="O931" t="n">
        <v>100</v>
      </c>
      <c r="P931" t="n">
        <v>0.00889</v>
      </c>
      <c r="Q931" t="n">
        <v>-55</v>
      </c>
      <c r="R931" t="n">
        <v>0.148</v>
      </c>
      <c r="S931">
        <f>IMAGE("https://mitra.stanford.edu/kundaje/oak/projects/neuro-variants/variant_position/credible/roussos_2024/variant_figures/roussos_2024.childhood.GLU/rs58991895_count_position.png",4,220,900)</f>
        <v/>
      </c>
      <c r="T931">
        <f>IMAGE("https://mitra.stanford.edu/kundaje/oak/projects/neuro-variants/variant_position/credible/roussos_2024/variant_figures/roussos_2024.childhood.GLU/rs58991895_profile_position.png",4,220,900)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-0.086759483</v>
      </c>
      <c r="G932" t="n">
        <v>0.0646579095831747</v>
      </c>
      <c r="H932" t="n">
        <v>0.0109710169292756</v>
      </c>
      <c r="I932" t="n">
        <v>0.5497162190484883</v>
      </c>
      <c r="J932" t="n">
        <v>0.08358144374504201</v>
      </c>
      <c r="K932" t="n">
        <v>0.2792313249206732</v>
      </c>
      <c r="L932" t="b">
        <v>0</v>
      </c>
      <c r="M932" t="b">
        <v>0</v>
      </c>
      <c r="N932" t="inlineStr">
        <is>
          <t>ref</t>
        </is>
      </c>
      <c r="O932" t="n">
        <v>-90</v>
      </c>
      <c r="P932" t="n">
        <v>0.005646</v>
      </c>
      <c r="Q932" t="n">
        <v>-50</v>
      </c>
      <c r="R932" t="n">
        <v>0.0708</v>
      </c>
      <c r="S932">
        <f>IMAGE("https://mitra.stanford.edu/kundaje/oak/projects/neuro-variants/variant_position/credible/roussos_2024/variant_figures/roussos_2024.childhood.GLU/rs1727302_count_position.png",4,220,900)</f>
        <v/>
      </c>
      <c r="T932">
        <f>IMAGE("https://mitra.stanford.edu/kundaje/oak/projects/neuro-variants/variant_position/credible/roussos_2024/variant_figures/roussos_2024.childhood.GLU/rs1727302_profile_position.png",4,220,900)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-0.0194514414</v>
      </c>
      <c r="G933" t="n">
        <v>0.4807401243781907</v>
      </c>
      <c r="H933" t="n">
        <v>0.0374034688711449</v>
      </c>
      <c r="I933" t="n">
        <v>0.008832781395552</v>
      </c>
      <c r="J933" t="n">
        <v>0.0053045834320623</v>
      </c>
      <c r="K933" t="n">
        <v>0.6663076770840267</v>
      </c>
      <c r="L933" t="b">
        <v>0</v>
      </c>
      <c r="M933" t="b">
        <v>0</v>
      </c>
      <c r="N933" t="inlineStr">
        <is>
          <t>ref</t>
        </is>
      </c>
      <c r="O933" t="n">
        <v>-95</v>
      </c>
      <c r="P933" t="n">
        <v>0.012085</v>
      </c>
      <c r="Q933" t="n">
        <v>-90</v>
      </c>
      <c r="R933" t="n">
        <v>0.06945999999999999</v>
      </c>
      <c r="S933">
        <f>IMAGE("https://mitra.stanford.edu/kundaje/oak/projects/neuro-variants/variant_position/credible/roussos_2024/variant_figures/roussos_2024.childhood.GLU/rs11613128_count_position.png",4,220,900)</f>
        <v/>
      </c>
      <c r="T933">
        <f>IMAGE("https://mitra.stanford.edu/kundaje/oak/projects/neuro-variants/variant_position/credible/roussos_2024/variant_figures/roussos_2024.childhood.GLU/rs11613128_profile_position.png",4,220,900)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-0.0108645619999999</v>
      </c>
      <c r="G934" t="n">
        <v>0.5996193676556524</v>
      </c>
      <c r="H934" t="n">
        <v>0.0223493403495728</v>
      </c>
      <c r="I934" t="n">
        <v>0.0656869527743381</v>
      </c>
      <c r="J934" t="n">
        <v>0.0335273573923166</v>
      </c>
      <c r="K934" t="n">
        <v>0.417314311034293</v>
      </c>
      <c r="L934" t="b">
        <v>0</v>
      </c>
      <c r="M934" t="b">
        <v>0</v>
      </c>
      <c r="N934" t="inlineStr">
        <is>
          <t>ref</t>
        </is>
      </c>
      <c r="O934" t="n">
        <v>-70</v>
      </c>
      <c r="P934" t="n">
        <v>0.1858</v>
      </c>
      <c r="Q934" t="n">
        <v>-100</v>
      </c>
      <c r="R934" t="n">
        <v>0.1787</v>
      </c>
      <c r="S934">
        <f>IMAGE("https://mitra.stanford.edu/kundaje/oak/projects/neuro-variants/variant_position/credible/roussos_2024/variant_figures/roussos_2024.childhood.GLU/rs4460848_count_position.png",4,220,900)</f>
        <v/>
      </c>
      <c r="T934">
        <f>IMAGE("https://mitra.stanford.edu/kundaje/oak/projects/neuro-variants/variant_position/credible/roussos_2024/variant_figures/roussos_2024.childhood.GLU/rs4460848_profile_position.png",4,220,900)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-0.0809387868</v>
      </c>
      <c r="G935" t="n">
        <v>0.0737264354830067</v>
      </c>
      <c r="H935" t="n">
        <v>0.0122973431878371</v>
      </c>
      <c r="I935" t="n">
        <v>0.4300073831368465</v>
      </c>
      <c r="J935" t="n">
        <v>0.0185861312289449</v>
      </c>
      <c r="K935" t="n">
        <v>0.5146760478854526</v>
      </c>
      <c r="L935" t="b">
        <v>0</v>
      </c>
      <c r="M935" t="b">
        <v>0</v>
      </c>
      <c r="N935" t="inlineStr">
        <is>
          <t>ref</t>
        </is>
      </c>
      <c r="O935" t="n">
        <v>10</v>
      </c>
      <c r="P935" t="n">
        <v>0.0003662</v>
      </c>
      <c r="Q935" t="n">
        <v>10</v>
      </c>
      <c r="R935" t="n">
        <v>0.006226</v>
      </c>
      <c r="S935">
        <f>IMAGE("https://mitra.stanford.edu/kundaje/oak/projects/neuro-variants/variant_position/credible/roussos_2024/variant_figures/roussos_2024.childhood.GLU/rs74917517_count_position.png",4,220,900)</f>
        <v/>
      </c>
      <c r="T935">
        <f>IMAGE("https://mitra.stanford.edu/kundaje/oak/projects/neuro-variants/variant_position/credible/roussos_2024/variant_figures/roussos_2024.childhood.GLU/rs74917517_profile_position.png",4,220,900)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0.01712830266</v>
      </c>
      <c r="G936" t="n">
        <v>0.5410803112055834</v>
      </c>
      <c r="H936" t="n">
        <v>0.038793775389924</v>
      </c>
      <c r="I936" t="n">
        <v>0.0074867350735952</v>
      </c>
      <c r="J936" t="n">
        <v>0.026660966136792</v>
      </c>
      <c r="K936" t="n">
        <v>0.4593954884374462</v>
      </c>
      <c r="L936" t="b">
        <v>1</v>
      </c>
      <c r="M936" t="b">
        <v>0</v>
      </c>
      <c r="N936" t="inlineStr">
        <is>
          <t>alt</t>
        </is>
      </c>
      <c r="O936" t="n">
        <v>-25</v>
      </c>
      <c r="P936" t="n">
        <v>0.02448</v>
      </c>
      <c r="Q936" t="n">
        <v>100</v>
      </c>
      <c r="R936" t="n">
        <v>0.0539</v>
      </c>
      <c r="S936">
        <f>IMAGE("https://mitra.stanford.edu/kundaje/oak/projects/neuro-variants/variant_position/credible/roussos_2024/variant_figures/roussos_2024.childhood.GLU/rs74240770_count_position.png",4,220,900)</f>
        <v/>
      </c>
      <c r="T936">
        <f>IMAGE("https://mitra.stanford.edu/kundaje/oak/projects/neuro-variants/variant_position/credible/roussos_2024/variant_figures/roussos_2024.childhood.GLU/rs74240770_profile_position.png",4,220,900)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-0.0146134619</v>
      </c>
      <c r="G937" t="n">
        <v>0.569261625467046</v>
      </c>
      <c r="H937" t="n">
        <v>0.037695820436603</v>
      </c>
      <c r="I937" t="n">
        <v>0.0083297146189227</v>
      </c>
      <c r="J937" t="n">
        <v>0.0137781120257141</v>
      </c>
      <c r="K937" t="n">
        <v>0.5430413088218052</v>
      </c>
      <c r="L937" t="b">
        <v>1</v>
      </c>
      <c r="M937" t="b">
        <v>0</v>
      </c>
      <c r="N937" t="inlineStr">
        <is>
          <t>ref</t>
        </is>
      </c>
      <c r="O937" t="n">
        <v>-85</v>
      </c>
      <c r="P937" t="n">
        <v>0.001102</v>
      </c>
      <c r="Q937" t="n">
        <v>15</v>
      </c>
      <c r="R937" t="n">
        <v>0.02014</v>
      </c>
      <c r="S937">
        <f>IMAGE("https://mitra.stanford.edu/kundaje/oak/projects/neuro-variants/variant_position/credible/roussos_2024/variant_figures/roussos_2024.childhood.GLU/rs1790134_count_position.png",4,220,900)</f>
        <v/>
      </c>
      <c r="T937">
        <f>IMAGE("https://mitra.stanford.edu/kundaje/oak/projects/neuro-variants/variant_position/credible/roussos_2024/variant_figures/roussos_2024.childhood.GLU/rs1790134_profile_position.png",4,220,900)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0.224015731</v>
      </c>
      <c r="G938" t="n">
        <v>0.0060503966482504</v>
      </c>
      <c r="H938" t="n">
        <v>0.0294592726355597</v>
      </c>
      <c r="I938" t="n">
        <v>0.0246620971104998</v>
      </c>
      <c r="J938" t="n">
        <v>0.07718071023107741</v>
      </c>
      <c r="K938" t="n">
        <v>0.2906427377649723</v>
      </c>
      <c r="L938" t="b">
        <v>1</v>
      </c>
      <c r="M938" t="b">
        <v>1</v>
      </c>
      <c r="N938" t="inlineStr">
        <is>
          <t>alt</t>
        </is>
      </c>
      <c r="O938" t="n">
        <v>-45</v>
      </c>
      <c r="P938" t="n">
        <v>0.00868</v>
      </c>
      <c r="Q938" t="n">
        <v>-40</v>
      </c>
      <c r="R938" t="n">
        <v>0.1023</v>
      </c>
      <c r="S938">
        <f>IMAGE("https://mitra.stanford.edu/kundaje/oak/projects/neuro-variants/variant_position/credible/roussos_2024/variant_figures/roussos_2024.childhood.GLU/rs1790133_count_position.png",4,220,900)</f>
        <v/>
      </c>
      <c r="T938">
        <f>IMAGE("https://mitra.stanford.edu/kundaje/oak/projects/neuro-variants/variant_position/credible/roussos_2024/variant_figures/roussos_2024.childhood.GLU/rs1790133_profile_position.png",4,220,900)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-0.161012128</v>
      </c>
      <c r="G939" t="n">
        <v>0.0143023479020542</v>
      </c>
      <c r="H939" t="n">
        <v>0.0193373011548914</v>
      </c>
      <c r="I939" t="n">
        <v>0.1125354831745585</v>
      </c>
      <c r="J939" t="n">
        <v>0.4336200768541317</v>
      </c>
      <c r="K939" t="n">
        <v>0.0561420683402579</v>
      </c>
      <c r="L939" t="b">
        <v>1</v>
      </c>
      <c r="M939" t="b">
        <v>0</v>
      </c>
      <c r="N939" t="inlineStr">
        <is>
          <t>ref</t>
        </is>
      </c>
      <c r="O939" t="n">
        <v>100</v>
      </c>
      <c r="P939" t="n">
        <v>0.00864</v>
      </c>
      <c r="Q939" t="n">
        <v>95</v>
      </c>
      <c r="R939" t="n">
        <v>0.10315</v>
      </c>
      <c r="S939">
        <f>IMAGE("https://mitra.stanford.edu/kundaje/oak/projects/neuro-variants/variant_position/credible/roussos_2024/variant_figures/roussos_2024.childhood.GLU/rs1727331_count_position.png",4,220,900)</f>
        <v/>
      </c>
      <c r="T939">
        <f>IMAGE("https://mitra.stanford.edu/kundaje/oak/projects/neuro-variants/variant_position/credible/roussos_2024/variant_figures/roussos_2024.childhood.GLU/rs1727331_profile_position.png",4,220,900)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-0.000451484512</v>
      </c>
      <c r="G940" t="n">
        <v>0.6639120168581121</v>
      </c>
      <c r="H940" t="n">
        <v>0.0370063593718151</v>
      </c>
      <c r="I940" t="n">
        <v>0.008896825403211499</v>
      </c>
      <c r="J940" t="n">
        <v>0.09909959100415169</v>
      </c>
      <c r="K940" t="n">
        <v>0.2545384425726139</v>
      </c>
      <c r="L940" t="b">
        <v>1</v>
      </c>
      <c r="M940" t="b">
        <v>1</v>
      </c>
      <c r="N940" t="inlineStr">
        <is>
          <t>ref</t>
        </is>
      </c>
      <c r="O940" t="n">
        <v>-95</v>
      </c>
      <c r="P940" t="n">
        <v>0.0281</v>
      </c>
      <c r="Q940" t="n">
        <v>-45</v>
      </c>
      <c r="R940" t="n">
        <v>0.09656000000000001</v>
      </c>
      <c r="S940">
        <f>IMAGE("https://mitra.stanford.edu/kundaje/oak/projects/neuro-variants/variant_position/credible/roussos_2024/variant_figures/roussos_2024.childhood.GLU/rs11554169_count_position.png",4,220,900)</f>
        <v/>
      </c>
      <c r="T940">
        <f>IMAGE("https://mitra.stanford.edu/kundaje/oak/projects/neuro-variants/variant_position/credible/roussos_2024/variant_figures/roussos_2024.childhood.GLU/rs11554169_profile_position.png",4,220,900)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-0.133644936</v>
      </c>
      <c r="G941" t="n">
        <v>0.0234398033153636</v>
      </c>
      <c r="H941" t="n">
        <v>0.012745446973691</v>
      </c>
      <c r="I941" t="n">
        <v>0.3839024673459612</v>
      </c>
      <c r="J941" t="n">
        <v>0.2682003152461701</v>
      </c>
      <c r="K941" t="n">
        <v>0.1149049786718484</v>
      </c>
      <c r="L941" t="b">
        <v>0</v>
      </c>
      <c r="M941" t="b">
        <v>0</v>
      </c>
      <c r="N941" t="inlineStr">
        <is>
          <t>ref</t>
        </is>
      </c>
      <c r="O941" t="n">
        <v>20</v>
      </c>
      <c r="P941" t="n">
        <v>0.002247</v>
      </c>
      <c r="Q941" t="n">
        <v>100</v>
      </c>
      <c r="R941" t="n">
        <v>0.2036</v>
      </c>
      <c r="S941">
        <f>IMAGE("https://mitra.stanford.edu/kundaje/oak/projects/neuro-variants/variant_position/credible/roussos_2024/variant_figures/roussos_2024.childhood.GLU/rs1980251_count_position.png",4,220,900)</f>
        <v/>
      </c>
      <c r="T941">
        <f>IMAGE("https://mitra.stanford.edu/kundaje/oak/projects/neuro-variants/variant_position/credible/roussos_2024/variant_figures/roussos_2024.childhood.GLU/rs1980251_profile_position.png",4,220,900)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-0.1044684068</v>
      </c>
      <c r="G942" t="n">
        <v>0.042805631999026</v>
      </c>
      <c r="H942" t="n">
        <v>0.020069085506291</v>
      </c>
      <c r="I942" t="n">
        <v>0.1039516389320094</v>
      </c>
      <c r="J942" t="n">
        <v>0.1825048677717452</v>
      </c>
      <c r="K942" t="n">
        <v>0.169841183920013</v>
      </c>
      <c r="L942" t="b">
        <v>0</v>
      </c>
      <c r="M942" t="b">
        <v>0</v>
      </c>
      <c r="N942" t="inlineStr">
        <is>
          <t>ref</t>
        </is>
      </c>
      <c r="O942" t="n">
        <v>65</v>
      </c>
      <c r="P942" t="n">
        <v>0.04086</v>
      </c>
      <c r="Q942" t="n">
        <v>-90</v>
      </c>
      <c r="R942" t="n">
        <v>0.3042</v>
      </c>
      <c r="S942">
        <f>IMAGE("https://mitra.stanford.edu/kundaje/oak/projects/neuro-variants/variant_position/credible/roussos_2024/variant_figures/roussos_2024.childhood.GLU/rs78197735_count_position.png",4,220,900)</f>
        <v/>
      </c>
      <c r="T942">
        <f>IMAGE("https://mitra.stanford.edu/kundaje/oak/projects/neuro-variants/variant_position/credible/roussos_2024/variant_figures/roussos_2024.childhood.GLU/rs78197735_profile_position.png",4,220,900)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-0.0357042128</v>
      </c>
      <c r="G943" t="n">
        <v>0.2473007676251715</v>
      </c>
      <c r="H943" t="n">
        <v>0.0132580231062662</v>
      </c>
      <c r="I943" t="n">
        <v>0.3463449774130304</v>
      </c>
      <c r="J943" t="n">
        <v>0.654747751553051</v>
      </c>
      <c r="K943" t="n">
        <v>0.0197671724454507</v>
      </c>
      <c r="L943" t="b">
        <v>0</v>
      </c>
      <c r="M943" t="b">
        <v>0</v>
      </c>
      <c r="N943" t="inlineStr">
        <is>
          <t>ref</t>
        </is>
      </c>
      <c r="O943" t="n">
        <v>100</v>
      </c>
      <c r="P943" t="n">
        <v>0.01294</v>
      </c>
      <c r="Q943" t="n">
        <v>100</v>
      </c>
      <c r="R943" t="n">
        <v>0.2004</v>
      </c>
      <c r="S943">
        <f>IMAGE("https://mitra.stanford.edu/kundaje/oak/projects/neuro-variants/variant_position/credible/roussos_2024/variant_figures/roussos_2024.childhood.GLU/rs76514049_count_position.png",4,220,900)</f>
        <v/>
      </c>
      <c r="T943">
        <f>IMAGE("https://mitra.stanford.edu/kundaje/oak/projects/neuro-variants/variant_position/credible/roussos_2024/variant_figures/roussos_2024.childhood.GLU/rs76514049_profile_position.png",4,220,900)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0.0409439286</v>
      </c>
      <c r="G944" t="n">
        <v>0.2442161555241489</v>
      </c>
      <c r="H944" t="n">
        <v>0.0102583621651401</v>
      </c>
      <c r="I944" t="n">
        <v>0.6305727808645839</v>
      </c>
      <c r="J944" t="n">
        <v>0.3847414672339724</v>
      </c>
      <c r="K944" t="n">
        <v>0.0687256401751641</v>
      </c>
      <c r="L944" t="b">
        <v>0</v>
      </c>
      <c r="M944" t="b">
        <v>0</v>
      </c>
      <c r="N944" t="inlineStr">
        <is>
          <t>alt</t>
        </is>
      </c>
      <c r="O944" t="n">
        <v>95</v>
      </c>
      <c r="P944" t="n">
        <v>0.02435</v>
      </c>
      <c r="Q944" t="n">
        <v>-80</v>
      </c>
      <c r="R944" t="n">
        <v>0.1604</v>
      </c>
      <c r="S944">
        <f>IMAGE("https://mitra.stanford.edu/kundaje/oak/projects/neuro-variants/variant_position/credible/roussos_2024/variant_figures/roussos_2024.childhood.GLU/rs74240779_count_position.png",4,220,900)</f>
        <v/>
      </c>
      <c r="T944">
        <f>IMAGE("https://mitra.stanford.edu/kundaje/oak/projects/neuro-variants/variant_position/credible/roussos_2024/variant_figures/roussos_2024.childhood.GLU/rs74240779_profile_position.png",4,220,900)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0.0102929664</v>
      </c>
      <c r="G945" t="n">
        <v>0.6380102110959229</v>
      </c>
      <c r="H945" t="n">
        <v>0.03955341072256</v>
      </c>
      <c r="I945" t="n">
        <v>0.0068300307832906</v>
      </c>
      <c r="J945" t="n">
        <v>0.07466389195092039</v>
      </c>
      <c r="K945" t="n">
        <v>0.2872729969839427</v>
      </c>
      <c r="L945" t="b">
        <v>1</v>
      </c>
      <c r="M945" t="b">
        <v>1</v>
      </c>
      <c r="N945" t="inlineStr">
        <is>
          <t>alt</t>
        </is>
      </c>
      <c r="O945" t="n">
        <v>-100</v>
      </c>
      <c r="P945" t="n">
        <v>0.003464</v>
      </c>
      <c r="Q945" t="n">
        <v>-60</v>
      </c>
      <c r="R945" t="n">
        <v>0.0669</v>
      </c>
      <c r="S945">
        <f>IMAGE("https://mitra.stanford.edu/kundaje/oak/projects/neuro-variants/variant_position/credible/roussos_2024/variant_figures/roussos_2024.childhood.GLU/rs67382382_count_position.png",4,220,900)</f>
        <v/>
      </c>
      <c r="T945">
        <f>IMAGE("https://mitra.stanford.edu/kundaje/oak/projects/neuro-variants/variant_position/credible/roussos_2024/variant_figures/roussos_2024.childhood.GLU/rs67382382_profile_position.png",4,220,900)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0.2183275479999999</v>
      </c>
      <c r="G946" t="n">
        <v>0.0058164606172243</v>
      </c>
      <c r="H946" t="n">
        <v>0.0248695816099226</v>
      </c>
      <c r="I946" t="n">
        <v>0.0473056335825009</v>
      </c>
      <c r="J946" t="n">
        <v>0.011657926998877</v>
      </c>
      <c r="K946" t="n">
        <v>0.5758088117498835</v>
      </c>
      <c r="L946" t="b">
        <v>1</v>
      </c>
      <c r="M946" t="b">
        <v>1</v>
      </c>
      <c r="N946" t="inlineStr">
        <is>
          <t>alt</t>
        </is>
      </c>
      <c r="O946" t="n">
        <v>-75</v>
      </c>
      <c r="P946" t="n">
        <v>0.01724</v>
      </c>
      <c r="Q946" t="n">
        <v>5</v>
      </c>
      <c r="R946" t="n">
        <v>0.021</v>
      </c>
      <c r="S946">
        <f>IMAGE("https://mitra.stanford.edu/kundaje/oak/projects/neuro-variants/variant_position/credible/roussos_2024/variant_figures/roussos_2024.childhood.GLU/rs58537268_count_position.png",4,220,900)</f>
        <v/>
      </c>
      <c r="T946">
        <f>IMAGE("https://mitra.stanford.edu/kundaje/oak/projects/neuro-variants/variant_position/credible/roussos_2024/variant_figures/roussos_2024.childhood.GLU/rs58537268_profile_position.png",4,220,900)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0.0081689089999999</v>
      </c>
      <c r="G947" t="n">
        <v>0.6950357911552184</v>
      </c>
      <c r="H947" t="n">
        <v>0.0282604688377243</v>
      </c>
      <c r="I947" t="n">
        <v>0.0271899726567392</v>
      </c>
      <c r="J947" t="n">
        <v>0.0244171551608682</v>
      </c>
      <c r="K947" t="n">
        <v>0.4587094647661135</v>
      </c>
      <c r="L947" t="b">
        <v>0</v>
      </c>
      <c r="M947" t="b">
        <v>0</v>
      </c>
      <c r="N947" t="inlineStr">
        <is>
          <t>alt</t>
        </is>
      </c>
      <c r="O947" t="n">
        <v>100</v>
      </c>
      <c r="P947" t="n">
        <v>0.02339</v>
      </c>
      <c r="Q947" t="n">
        <v>100</v>
      </c>
      <c r="R947" t="n">
        <v>0.0877</v>
      </c>
      <c r="S947">
        <f>IMAGE("https://mitra.stanford.edu/kundaje/oak/projects/neuro-variants/variant_position/credible/roussos_2024/variant_figures/roussos_2024.childhood.GLU/rs117741953_count_position.png",4,220,900)</f>
        <v/>
      </c>
      <c r="T947">
        <f>IMAGE("https://mitra.stanford.edu/kundaje/oak/projects/neuro-variants/variant_position/credible/roussos_2024/variant_figures/roussos_2024.childhood.GLU/rs117741953_profile_position.png",4,220,900)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0.0398119886</v>
      </c>
      <c r="G948" t="n">
        <v>0.231803175812411</v>
      </c>
      <c r="H948" t="n">
        <v>0.0219103735303071</v>
      </c>
      <c r="I948" t="n">
        <v>0.071680247399703</v>
      </c>
      <c r="J948" t="n">
        <v>0.0414054209978674</v>
      </c>
      <c r="K948" t="n">
        <v>0.3941653500433797</v>
      </c>
      <c r="L948" t="b">
        <v>0</v>
      </c>
      <c r="M948" t="b">
        <v>0</v>
      </c>
      <c r="N948" t="inlineStr">
        <is>
          <t>alt</t>
        </is>
      </c>
      <c r="O948" t="n">
        <v>30</v>
      </c>
      <c r="P948" t="n">
        <v>0.002579</v>
      </c>
      <c r="Q948" t="n">
        <v>20</v>
      </c>
      <c r="R948" t="n">
        <v>0.0008545</v>
      </c>
      <c r="S948">
        <f>IMAGE("https://mitra.stanford.edu/kundaje/oak/projects/neuro-variants/variant_position/credible/roussos_2024/variant_figures/roussos_2024.childhood.GLU/rs57416942_count_position.png",4,220,900)</f>
        <v/>
      </c>
      <c r="T948">
        <f>IMAGE("https://mitra.stanford.edu/kundaje/oak/projects/neuro-variants/variant_position/credible/roussos_2024/variant_figures/roussos_2024.childhood.GLU/rs57416942_profile_position.png",4,220,900)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0.06780841159999999</v>
      </c>
      <c r="G949" t="n">
        <v>0.0987691870947093</v>
      </c>
      <c r="H949" t="n">
        <v>0.0132294982966888</v>
      </c>
      <c r="I949" t="n">
        <v>0.3511565204369994</v>
      </c>
      <c r="J949" t="n">
        <v>0.008886645306849799</v>
      </c>
      <c r="K949" t="n">
        <v>0.6093071835693958</v>
      </c>
      <c r="L949" t="b">
        <v>0</v>
      </c>
      <c r="M949" t="b">
        <v>0</v>
      </c>
      <c r="N949" t="inlineStr">
        <is>
          <t>alt</t>
        </is>
      </c>
      <c r="O949" t="n">
        <v>15</v>
      </c>
      <c r="P949" t="n">
        <v>0.010956</v>
      </c>
      <c r="Q949" t="n">
        <v>95</v>
      </c>
      <c r="R949" t="n">
        <v>0.02719</v>
      </c>
      <c r="S949">
        <f>IMAGE("https://mitra.stanford.edu/kundaje/oak/projects/neuro-variants/variant_position/credible/roussos_2024/variant_figures/roussos_2024.childhood.GLU/rs75225286_count_position.png",4,220,900)</f>
        <v/>
      </c>
      <c r="T949">
        <f>IMAGE("https://mitra.stanford.edu/kundaje/oak/projects/neuro-variants/variant_position/credible/roussos_2024/variant_figures/roussos_2024.childhood.GLU/rs75225286_profile_position.png",4,220,900)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0.134214132</v>
      </c>
      <c r="G950" t="n">
        <v>0.0250649471473977</v>
      </c>
      <c r="H950" t="n">
        <v>0.0208888099753027</v>
      </c>
      <c r="I950" t="n">
        <v>0.09300576729796831</v>
      </c>
      <c r="J950" t="n">
        <v>0.0934828520506453</v>
      </c>
      <c r="K950" t="n">
        <v>0.2564962573734604</v>
      </c>
      <c r="L950" t="b">
        <v>0</v>
      </c>
      <c r="M950" t="b">
        <v>0</v>
      </c>
      <c r="N950" t="inlineStr">
        <is>
          <t>alt</t>
        </is>
      </c>
      <c r="O950" t="n">
        <v>70</v>
      </c>
      <c r="P950" t="n">
        <v>0.003998</v>
      </c>
      <c r="Q950" t="n">
        <v>-55</v>
      </c>
      <c r="R950" t="n">
        <v>0.006104</v>
      </c>
      <c r="S950">
        <f>IMAGE("https://mitra.stanford.edu/kundaje/oak/projects/neuro-variants/variant_position/credible/roussos_2024/variant_figures/roussos_2024.childhood.GLU/rs10846519_count_position.png",4,220,900)</f>
        <v/>
      </c>
      <c r="T950">
        <f>IMAGE("https://mitra.stanford.edu/kundaje/oak/projects/neuro-variants/variant_position/credible/roussos_2024/variant_figures/roussos_2024.childhood.GLU/rs10846519_profile_position.png",4,220,900)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0.002975375426</v>
      </c>
      <c r="G951" t="n">
        <v>0.7943605253377549</v>
      </c>
      <c r="H951" t="n">
        <v>0.0075338772353998</v>
      </c>
      <c r="I951" t="n">
        <v>0.90883635235976</v>
      </c>
      <c r="J951" t="n">
        <v>0.0361368951342886</v>
      </c>
      <c r="K951" t="n">
        <v>0.4036064474643069</v>
      </c>
      <c r="L951" t="b">
        <v>0</v>
      </c>
      <c r="M951" t="b">
        <v>0</v>
      </c>
      <c r="N951" t="inlineStr">
        <is>
          <t>alt</t>
        </is>
      </c>
      <c r="O951" t="n">
        <v>-10</v>
      </c>
      <c r="P951" t="n">
        <v>0.0004883</v>
      </c>
      <c r="Q951" t="n">
        <v>-20</v>
      </c>
      <c r="R951" t="n">
        <v>0.06934</v>
      </c>
      <c r="S951">
        <f>IMAGE("https://mitra.stanford.edu/kundaje/oak/projects/neuro-variants/variant_position/credible/roussos_2024/variant_figures/roussos_2024.childhood.GLU/rs7486223_count_position.png",4,220,900)</f>
        <v/>
      </c>
      <c r="T951">
        <f>IMAGE("https://mitra.stanford.edu/kundaje/oak/projects/neuro-variants/variant_position/credible/roussos_2024/variant_figures/roussos_2024.childhood.GLU/rs7486223_profile_position.png",4,220,900)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0.0116823908</v>
      </c>
      <c r="G952" t="n">
        <v>0.6055848317831872</v>
      </c>
      <c r="H952" t="n">
        <v>0.0287286042990744</v>
      </c>
      <c r="I952" t="n">
        <v>0.0249056541902641</v>
      </c>
      <c r="J952" t="n">
        <v>0.06313577219858441</v>
      </c>
      <c r="K952" t="n">
        <v>0.3200681888712632</v>
      </c>
      <c r="L952" t="b">
        <v>0</v>
      </c>
      <c r="M952" t="b">
        <v>0</v>
      </c>
      <c r="N952" t="inlineStr">
        <is>
          <t>alt</t>
        </is>
      </c>
      <c r="O952" t="n">
        <v>100</v>
      </c>
      <c r="P952" t="n">
        <v>0.01689</v>
      </c>
      <c r="Q952" t="n">
        <v>-25</v>
      </c>
      <c r="R952" t="n">
        <v>0.02966</v>
      </c>
      <c r="S952">
        <f>IMAGE("https://mitra.stanford.edu/kundaje/oak/projects/neuro-variants/variant_position/credible/roussos_2024/variant_figures/roussos_2024.childhood.GLU/rs7952835_count_position.png",4,220,900)</f>
        <v/>
      </c>
      <c r="T952">
        <f>IMAGE("https://mitra.stanford.edu/kundaje/oak/projects/neuro-variants/variant_position/credible/roussos_2024/variant_figures/roussos_2024.childhood.GLU/rs7952835_profile_position.png",4,220,900)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0.0775085264</v>
      </c>
      <c r="G953" t="n">
        <v>0.0749844887133629</v>
      </c>
      <c r="H953" t="n">
        <v>0.0149529597908415</v>
      </c>
      <c r="I953" t="n">
        <v>0.2530406715998579</v>
      </c>
      <c r="J953" t="n">
        <v>0.1399744506371887</v>
      </c>
      <c r="K953" t="n">
        <v>0.2013140670115368</v>
      </c>
      <c r="L953" t="b">
        <v>0</v>
      </c>
      <c r="M953" t="b">
        <v>0</v>
      </c>
      <c r="N953" t="inlineStr">
        <is>
          <t>alt</t>
        </is>
      </c>
      <c r="O953" t="n">
        <v>5</v>
      </c>
      <c r="P953" t="n">
        <v>6.104e-05</v>
      </c>
      <c r="Q953" t="n">
        <v>-95</v>
      </c>
      <c r="R953" t="n">
        <v>0.06287</v>
      </c>
      <c r="S953">
        <f>IMAGE("https://mitra.stanford.edu/kundaje/oak/projects/neuro-variants/variant_position/credible/roussos_2024/variant_figures/roussos_2024.childhood.GLU/rs7962723_count_position.png",4,220,900)</f>
        <v/>
      </c>
      <c r="T953">
        <f>IMAGE("https://mitra.stanford.edu/kundaje/oak/projects/neuro-variants/variant_position/credible/roussos_2024/variant_figures/roussos_2024.childhood.GLU/rs7962723_profile_position.png",4,220,900)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0.0939086172</v>
      </c>
      <c r="G954" t="n">
        <v>0.049143741321422</v>
      </c>
      <c r="H954" t="n">
        <v>0.0143585526989817</v>
      </c>
      <c r="I954" t="n">
        <v>0.2800251940275447</v>
      </c>
      <c r="J954" t="n">
        <v>0.1182750059237433</v>
      </c>
      <c r="K954" t="n">
        <v>0.2244758479832881</v>
      </c>
      <c r="L954" t="b">
        <v>0</v>
      </c>
      <c r="M954" t="b">
        <v>0</v>
      </c>
      <c r="N954" t="inlineStr">
        <is>
          <t>alt</t>
        </is>
      </c>
      <c r="O954" t="n">
        <v>-10</v>
      </c>
      <c r="P954" t="n">
        <v>0.00116</v>
      </c>
      <c r="Q954" t="n">
        <v>-75</v>
      </c>
      <c r="R954" t="n">
        <v>0.07776</v>
      </c>
      <c r="S954">
        <f>IMAGE("https://mitra.stanford.edu/kundaje/oak/projects/neuro-variants/variant_position/credible/roussos_2024/variant_figures/roussos_2024.childhood.GLU/rs10773011_count_position.png",4,220,900)</f>
        <v/>
      </c>
      <c r="T954">
        <f>IMAGE("https://mitra.stanford.edu/kundaje/oak/projects/neuro-variants/variant_position/credible/roussos_2024/variant_figures/roussos_2024.childhood.GLU/rs10773011_profile_position.png",4,220,900)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0.0194235205</v>
      </c>
      <c r="G955" t="n">
        <v>0.4664177702905691</v>
      </c>
      <c r="H955" t="n">
        <v>0.0190297852562413</v>
      </c>
      <c r="I955" t="n">
        <v>0.1196330130100538</v>
      </c>
      <c r="J955" t="n">
        <v>0.2293148031771868</v>
      </c>
      <c r="K955" t="n">
        <v>0.1322685875331302</v>
      </c>
      <c r="L955" t="b">
        <v>0</v>
      </c>
      <c r="M955" t="b">
        <v>0</v>
      </c>
      <c r="N955" t="inlineStr">
        <is>
          <t>alt</t>
        </is>
      </c>
      <c r="O955" t="n">
        <v>20</v>
      </c>
      <c r="P955" t="n">
        <v>0.005085</v>
      </c>
      <c r="Q955" t="n">
        <v>85</v>
      </c>
      <c r="R955" t="n">
        <v>0.0999</v>
      </c>
      <c r="S955">
        <f>IMAGE("https://mitra.stanford.edu/kundaje/oak/projects/neuro-variants/variant_position/credible/roussos_2024/variant_figures/roussos_2024.childhood.GLU/rs9300256_count_position.png",4,220,900)</f>
        <v/>
      </c>
      <c r="T955">
        <f>IMAGE("https://mitra.stanford.edu/kundaje/oak/projects/neuro-variants/variant_position/credible/roussos_2024/variant_figures/roussos_2024.childhood.GLU/rs9300256_profile_position.png",4,220,900)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0.018337438906</v>
      </c>
      <c r="G956" t="n">
        <v>0.4794560223556177</v>
      </c>
      <c r="H956" t="n">
        <v>0.0114227359675677</v>
      </c>
      <c r="I956" t="n">
        <v>0.4838641670934617</v>
      </c>
      <c r="J956" t="n">
        <v>0.0162217849526615</v>
      </c>
      <c r="K956" t="n">
        <v>0.5252050206361382</v>
      </c>
      <c r="L956" t="b">
        <v>0</v>
      </c>
      <c r="M956" t="b">
        <v>0</v>
      </c>
      <c r="N956" t="inlineStr">
        <is>
          <t>alt</t>
        </is>
      </c>
      <c r="O956" t="n">
        <v>-10</v>
      </c>
      <c r="P956" t="n">
        <v>0.0004883</v>
      </c>
      <c r="Q956" t="n">
        <v>-5</v>
      </c>
      <c r="R956" t="n">
        <v>0.006348</v>
      </c>
      <c r="S956">
        <f>IMAGE("https://mitra.stanford.edu/kundaje/oak/projects/neuro-variants/variant_position/credible/roussos_2024/variant_figures/roussos_2024.childhood.GLU/rs10773016_count_position.png",4,220,900)</f>
        <v/>
      </c>
      <c r="T956">
        <f>IMAGE("https://mitra.stanford.edu/kundaje/oak/projects/neuro-variants/variant_position/credible/roussos_2024/variant_figures/roussos_2024.childhood.GLU/rs10773016_profile_position.png",4,220,900)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0.0230197526</v>
      </c>
      <c r="G957" t="n">
        <v>0.407635993835268</v>
      </c>
      <c r="H957" t="n">
        <v>0.0103768910096825</v>
      </c>
      <c r="I957" t="n">
        <v>0.6178618501916119</v>
      </c>
      <c r="J957" t="n">
        <v>0.4127200799447804</v>
      </c>
      <c r="K957" t="n">
        <v>0.0608761231484846</v>
      </c>
      <c r="L957" t="b">
        <v>0</v>
      </c>
      <c r="M957" t="b">
        <v>0</v>
      </c>
      <c r="N957" t="inlineStr">
        <is>
          <t>alt</t>
        </is>
      </c>
      <c r="O957" t="n">
        <v>-70</v>
      </c>
      <c r="P957" t="n">
        <v>0.009259999999999999</v>
      </c>
      <c r="Q957" t="n">
        <v>-85</v>
      </c>
      <c r="R957" t="n">
        <v>0.2009</v>
      </c>
      <c r="S957">
        <f>IMAGE("https://mitra.stanford.edu/kundaje/oak/projects/neuro-variants/variant_position/credible/roussos_2024/variant_figures/roussos_2024.childhood.GLU/rs4930723_count_position.png",4,220,900)</f>
        <v/>
      </c>
      <c r="T957">
        <f>IMAGE("https://mitra.stanford.edu/kundaje/oak/projects/neuro-variants/variant_position/credible/roussos_2024/variant_figures/roussos_2024.childhood.GLU/rs4930723_profile_position.png",4,220,900)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0.002585536394</v>
      </c>
      <c r="G958" t="n">
        <v>0.8723381385258725</v>
      </c>
      <c r="H958" t="n">
        <v>0.0147373704540943</v>
      </c>
      <c r="I958" t="n">
        <v>0.2607771571153554</v>
      </c>
      <c r="J958" t="n">
        <v>0.4800725272234641</v>
      </c>
      <c r="K958" t="n">
        <v>0.0459642794996587</v>
      </c>
      <c r="L958" t="b">
        <v>0</v>
      </c>
      <c r="M958" t="b">
        <v>0</v>
      </c>
      <c r="N958" t="inlineStr">
        <is>
          <t>alt</t>
        </is>
      </c>
      <c r="O958" t="n">
        <v>100</v>
      </c>
      <c r="P958" t="n">
        <v>0.01823</v>
      </c>
      <c r="Q958" t="n">
        <v>-85</v>
      </c>
      <c r="R958" t="n">
        <v>0.07477</v>
      </c>
      <c r="S958">
        <f>IMAGE("https://mitra.stanford.edu/kundaje/oak/projects/neuro-variants/variant_position/credible/roussos_2024/variant_figures/roussos_2024.childhood.GLU/rs4930726_count_position.png",4,220,900)</f>
        <v/>
      </c>
      <c r="T958">
        <f>IMAGE("https://mitra.stanford.edu/kundaje/oak/projects/neuro-variants/variant_position/credible/roussos_2024/variant_figures/roussos_2024.childhood.GLU/rs4930726_profile_position.png",4,220,900)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-0.04379570102</v>
      </c>
      <c r="G959" t="n">
        <v>0.2555872696851425</v>
      </c>
      <c r="H959" t="n">
        <v>0.0253458124801025</v>
      </c>
      <c r="I959" t="n">
        <v>0.0414621016337958</v>
      </c>
      <c r="J959" t="n">
        <v>0.3612154491227708</v>
      </c>
      <c r="K959" t="n">
        <v>0.075497734638322</v>
      </c>
      <c r="L959" t="b">
        <v>0</v>
      </c>
      <c r="M959" t="b">
        <v>0</v>
      </c>
      <c r="N959" t="inlineStr">
        <is>
          <t>ref</t>
        </is>
      </c>
      <c r="O959" t="n">
        <v>25</v>
      </c>
      <c r="P959" t="n">
        <v>0.001648</v>
      </c>
      <c r="Q959" t="n">
        <v>20</v>
      </c>
      <c r="R959" t="n">
        <v>0.03857</v>
      </c>
      <c r="S959">
        <f>IMAGE("https://mitra.stanford.edu/kundaje/oak/projects/neuro-variants/variant_position/credible/roussos_2024/variant_figures/roussos_2024.childhood.GLU/rs7312404_count_position.png",4,220,900)</f>
        <v/>
      </c>
      <c r="T959">
        <f>IMAGE("https://mitra.stanford.edu/kundaje/oak/projects/neuro-variants/variant_position/credible/roussos_2024/variant_figures/roussos_2024.childhood.GLU/rs7312404_profile_position.png",4,220,900)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-0.0328044166</v>
      </c>
      <c r="G960" t="n">
        <v>0.3126329131920754</v>
      </c>
      <c r="H960" t="n">
        <v>0.0366516368909257</v>
      </c>
      <c r="I960" t="n">
        <v>0.009475315208456099</v>
      </c>
      <c r="J960" t="n">
        <v>0.3650808204642154</v>
      </c>
      <c r="K960" t="n">
        <v>0.07432008005103601</v>
      </c>
      <c r="L960" t="b">
        <v>1</v>
      </c>
      <c r="M960" t="b">
        <v>1</v>
      </c>
      <c r="N960" t="inlineStr">
        <is>
          <t>ref</t>
        </is>
      </c>
      <c r="O960" t="n">
        <v>-45</v>
      </c>
      <c r="P960" t="n">
        <v>0.001465</v>
      </c>
      <c r="Q960" t="n">
        <v>-45</v>
      </c>
      <c r="R960" t="n">
        <v>0.1223</v>
      </c>
      <c r="S960">
        <f>IMAGE("https://mitra.stanford.edu/kundaje/oak/projects/neuro-variants/variant_position/credible/roussos_2024/variant_figures/roussos_2024.childhood.GLU/rs7134121_count_position.png",4,220,900)</f>
        <v/>
      </c>
      <c r="T960">
        <f>IMAGE("https://mitra.stanford.edu/kundaje/oak/projects/neuro-variants/variant_position/credible/roussos_2024/variant_figures/roussos_2024.childhood.GLU/rs7134121_profile_position.png",4,220,900)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-0.09524467020000001</v>
      </c>
      <c r="G961" t="n">
        <v>0.0531522225520995</v>
      </c>
      <c r="H961" t="n">
        <v>0.0155352596036077</v>
      </c>
      <c r="I961" t="n">
        <v>0.2211537465631315</v>
      </c>
      <c r="J961" t="n">
        <v>0.1701422728630739</v>
      </c>
      <c r="K961" t="n">
        <v>0.1822201558065827</v>
      </c>
      <c r="L961" t="b">
        <v>0</v>
      </c>
      <c r="M961" t="b">
        <v>0</v>
      </c>
      <c r="N961" t="inlineStr">
        <is>
          <t>ref</t>
        </is>
      </c>
      <c r="O961" t="n">
        <v>-50</v>
      </c>
      <c r="P961" t="n">
        <v>0.008330000000000001</v>
      </c>
      <c r="Q961" t="n">
        <v>-100</v>
      </c>
      <c r="R961" t="n">
        <v>0.04248</v>
      </c>
      <c r="S961">
        <f>IMAGE("https://mitra.stanford.edu/kundaje/oak/projects/neuro-variants/variant_position/credible/roussos_2024/variant_figures/roussos_2024.childhood.GLU/rs35099862_count_position.png",4,220,900)</f>
        <v/>
      </c>
      <c r="T961">
        <f>IMAGE("https://mitra.stanford.edu/kundaje/oak/projects/neuro-variants/variant_position/credible/roussos_2024/variant_figures/roussos_2024.childhood.GLU/rs35099862_profile_position.png",4,220,900)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-0.194252314</v>
      </c>
      <c r="G962" t="n">
        <v>0.007958123928842899</v>
      </c>
      <c r="H962" t="n">
        <v>0.0367990261026124</v>
      </c>
      <c r="I962" t="n">
        <v>0.0096780714161667</v>
      </c>
      <c r="J962" t="n">
        <v>0.3634211420977263</v>
      </c>
      <c r="K962" t="n">
        <v>0.0746816684781426</v>
      </c>
      <c r="L962" t="b">
        <v>1</v>
      </c>
      <c r="M962" t="b">
        <v>1</v>
      </c>
      <c r="N962" t="inlineStr">
        <is>
          <t>ref</t>
        </is>
      </c>
      <c r="O962" t="n">
        <v>90</v>
      </c>
      <c r="P962" t="n">
        <v>0.005188</v>
      </c>
      <c r="Q962" t="n">
        <v>100</v>
      </c>
      <c r="R962" t="n">
        <v>0.003906</v>
      </c>
      <c r="S962">
        <f>IMAGE("https://mitra.stanford.edu/kundaje/oak/projects/neuro-variants/variant_position/credible/roussos_2024/variant_figures/roussos_2024.childhood.GLU/rs7978610_count_position.png",4,220,900)</f>
        <v/>
      </c>
      <c r="T962">
        <f>IMAGE("https://mitra.stanford.edu/kundaje/oak/projects/neuro-variants/variant_position/credible/roussos_2024/variant_figures/roussos_2024.childhood.GLU/rs7978610_profile_position.png",4,220,900)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0.0024343201</v>
      </c>
      <c r="G963" t="n">
        <v>0.6933073779903159</v>
      </c>
      <c r="H963" t="n">
        <v>0.0325745893765321</v>
      </c>
      <c r="I963" t="n">
        <v>0.0150783549902393</v>
      </c>
      <c r="J963" t="n">
        <v>0.1340352539998145</v>
      </c>
      <c r="K963" t="n">
        <v>0.2046786785767828</v>
      </c>
      <c r="L963" t="b">
        <v>1</v>
      </c>
      <c r="M963" t="b">
        <v>0</v>
      </c>
      <c r="N963" t="inlineStr">
        <is>
          <t>alt</t>
        </is>
      </c>
      <c r="O963" t="n">
        <v>-100</v>
      </c>
      <c r="P963" t="n">
        <v>0.009735000000000001</v>
      </c>
      <c r="Q963" t="n">
        <v>-65</v>
      </c>
      <c r="R963" t="n">
        <v>0.0641</v>
      </c>
      <c r="S963">
        <f>IMAGE("https://mitra.stanford.edu/kundaje/oak/projects/neuro-variants/variant_position/credible/roussos_2024/variant_figures/roussos_2024.childhood.GLU/rs11837287_count_position.png",4,220,900)</f>
        <v/>
      </c>
      <c r="T963">
        <f>IMAGE("https://mitra.stanford.edu/kundaje/oak/projects/neuro-variants/variant_position/credible/roussos_2024/variant_figures/roussos_2024.childhood.GLU/rs11837287_profile_position.png",4,220,900)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0.0035943571399999</v>
      </c>
      <c r="G964" t="n">
        <v>0.7761402195286017</v>
      </c>
      <c r="H964" t="n">
        <v>0.0111098117472457</v>
      </c>
      <c r="I964" t="n">
        <v>0.541762940464163</v>
      </c>
      <c r="J964" t="n">
        <v>0.0392594805649705</v>
      </c>
      <c r="K964" t="n">
        <v>0.3888305924961139</v>
      </c>
      <c r="L964" t="b">
        <v>0</v>
      </c>
      <c r="M964" t="b">
        <v>0</v>
      </c>
      <c r="N964" t="inlineStr">
        <is>
          <t>alt</t>
        </is>
      </c>
      <c r="O964" t="n">
        <v>-10</v>
      </c>
      <c r="P964" t="n">
        <v>0.0006027</v>
      </c>
      <c r="Q964" t="n">
        <v>-50</v>
      </c>
      <c r="R964" t="n">
        <v>0.03345</v>
      </c>
      <c r="S964">
        <f>IMAGE("https://mitra.stanford.edu/kundaje/oak/projects/neuro-variants/variant_position/credible/roussos_2024/variant_figures/roussos_2024.childhood.GLU/rs7307277_count_position.png",4,220,900)</f>
        <v/>
      </c>
      <c r="T964">
        <f>IMAGE("https://mitra.stanford.edu/kundaje/oak/projects/neuro-variants/variant_position/credible/roussos_2024/variant_figures/roussos_2024.childhood.GLU/rs7307277_profile_position.png",4,220,900)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-0.254493002</v>
      </c>
      <c r="G965" t="n">
        <v>0.0037585069670991</v>
      </c>
      <c r="H965" t="n">
        <v>0.0406180573523676</v>
      </c>
      <c r="I965" t="n">
        <v>0.0067209569232758</v>
      </c>
      <c r="J965" t="n">
        <v>0.2112448102856789</v>
      </c>
      <c r="K965" t="n">
        <v>0.1428005398923417</v>
      </c>
      <c r="L965" t="b">
        <v>1</v>
      </c>
      <c r="M965" t="b">
        <v>1</v>
      </c>
      <c r="N965" t="inlineStr">
        <is>
          <t>ref</t>
        </is>
      </c>
      <c r="O965" t="n">
        <v>55</v>
      </c>
      <c r="P965" t="n">
        <v>0.00932</v>
      </c>
      <c r="Q965" t="n">
        <v>35</v>
      </c>
      <c r="R965" t="n">
        <v>0.02832</v>
      </c>
      <c r="S965">
        <f>IMAGE("https://mitra.stanford.edu/kundaje/oak/projects/neuro-variants/variant_position/credible/roussos_2024/variant_figures/roussos_2024.childhood.GLU/rs12833624_count_position.png",4,220,900)</f>
        <v/>
      </c>
      <c r="T965">
        <f>IMAGE("https://mitra.stanford.edu/kundaje/oak/projects/neuro-variants/variant_position/credible/roussos_2024/variant_figures/roussos_2024.childhood.GLU/rs12833624_profile_position.png",4,220,900)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-0.0146628802</v>
      </c>
      <c r="G966" t="n">
        <v>0.5108916571759631</v>
      </c>
      <c r="H966" t="n">
        <v>0.009873599148469</v>
      </c>
      <c r="I966" t="n">
        <v>0.6746692380941526</v>
      </c>
      <c r="J966" t="n">
        <v>0.1916789434102218</v>
      </c>
      <c r="K966" t="n">
        <v>0.1535441201057001</v>
      </c>
      <c r="L966" t="b">
        <v>0</v>
      </c>
      <c r="M966" t="b">
        <v>0</v>
      </c>
      <c r="N966" t="inlineStr">
        <is>
          <t>ref</t>
        </is>
      </c>
      <c r="O966" t="n">
        <v>-100</v>
      </c>
      <c r="P966" t="n">
        <v>0.04987</v>
      </c>
      <c r="Q966" t="n">
        <v>-100</v>
      </c>
      <c r="R966" t="n">
        <v>0.1743</v>
      </c>
      <c r="S966">
        <f>IMAGE("https://mitra.stanford.edu/kundaje/oak/projects/neuro-variants/variant_position/credible/roussos_2024/variant_figures/roussos_2024.childhood.GLU/rs34114498_count_position.png",4,220,900)</f>
        <v/>
      </c>
      <c r="T966">
        <f>IMAGE("https://mitra.stanford.edu/kundaje/oak/projects/neuro-variants/variant_position/credible/roussos_2024/variant_figures/roussos_2024.childhood.GLU/rs34114498_profile_position.png",4,220,900)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-0.149758666</v>
      </c>
      <c r="G967" t="n">
        <v>0.0178009064096687</v>
      </c>
      <c r="H967" t="n">
        <v>0.0366364647585295</v>
      </c>
      <c r="I967" t="n">
        <v>0.009776888287124801</v>
      </c>
      <c r="J967" t="n">
        <v>0.2122554524194628</v>
      </c>
      <c r="K967" t="n">
        <v>0.1423431029602943</v>
      </c>
      <c r="L967" t="b">
        <v>1</v>
      </c>
      <c r="M967" t="b">
        <v>1</v>
      </c>
      <c r="N967" t="inlineStr">
        <is>
          <t>ref</t>
        </is>
      </c>
      <c r="O967" t="n">
        <v>-90</v>
      </c>
      <c r="P967" t="n">
        <v>0.00119</v>
      </c>
      <c r="Q967" t="n">
        <v>-50</v>
      </c>
      <c r="R967" t="n">
        <v>0.1641</v>
      </c>
      <c r="S967">
        <f>IMAGE("https://mitra.stanford.edu/kundaje/oak/projects/neuro-variants/variant_position/credible/roussos_2024/variant_figures/roussos_2024.childhood.GLU/rs12303671_count_position.png",4,220,900)</f>
        <v/>
      </c>
      <c r="T967">
        <f>IMAGE("https://mitra.stanford.edu/kundaje/oak/projects/neuro-variants/variant_position/credible/roussos_2024/variant_figures/roussos_2024.childhood.GLU/rs12303671_profile_position.png",4,220,900)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-0.0014818034399999</v>
      </c>
      <c r="G968" t="n">
        <v>0.5799978474224614</v>
      </c>
      <c r="H968" t="n">
        <v>0.0146041032815192</v>
      </c>
      <c r="I968" t="n">
        <v>0.2752715569442661</v>
      </c>
      <c r="J968" t="n">
        <v>0.0458518343000195</v>
      </c>
      <c r="K968" t="n">
        <v>0.3836164321857709</v>
      </c>
      <c r="L968" t="b">
        <v>0</v>
      </c>
      <c r="M968" t="b">
        <v>0</v>
      </c>
      <c r="N968" t="inlineStr">
        <is>
          <t>ref</t>
        </is>
      </c>
      <c r="O968" t="n">
        <v>75</v>
      </c>
      <c r="P968" t="n">
        <v>0.01671</v>
      </c>
      <c r="Q968" t="n">
        <v>5</v>
      </c>
      <c r="R968" t="n">
        <v>0.00464</v>
      </c>
      <c r="S968">
        <f>IMAGE("https://mitra.stanford.edu/kundaje/oak/projects/neuro-variants/variant_position/credible/roussos_2024/variant_figures/roussos_2024.childhood.GLU/rs7992065_count_position.png",4,220,900)</f>
        <v/>
      </c>
      <c r="T968">
        <f>IMAGE("https://mitra.stanford.edu/kundaje/oak/projects/neuro-variants/variant_position/credible/roussos_2024/variant_figures/roussos_2024.childhood.GLU/rs7992065_profile_position.png",4,220,900)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-0.01265133403</v>
      </c>
      <c r="G969" t="n">
        <v>0.6439675033658351</v>
      </c>
      <c r="H969" t="n">
        <v>0.0240353918141744</v>
      </c>
      <c r="I969" t="n">
        <v>0.0507204749692944</v>
      </c>
      <c r="J969" t="n">
        <v>0.0057125490640484</v>
      </c>
      <c r="K969" t="n">
        <v>0.6611330366259368</v>
      </c>
      <c r="L969" t="b">
        <v>0</v>
      </c>
      <c r="M969" t="b">
        <v>0</v>
      </c>
      <c r="N969" t="inlineStr">
        <is>
          <t>ref</t>
        </is>
      </c>
      <c r="O969" t="n">
        <v>-95</v>
      </c>
      <c r="P969" t="n">
        <v>0.02179</v>
      </c>
      <c r="Q969" t="n">
        <v>15</v>
      </c>
      <c r="R969" t="n">
        <v>0.0332</v>
      </c>
      <c r="S969">
        <f>IMAGE("https://mitra.stanford.edu/kundaje/oak/projects/neuro-variants/variant_position/credible/roussos_2024/variant_figures/roussos_2024.childhood.GLU/rs9567419_count_position.png",4,220,900)</f>
        <v/>
      </c>
      <c r="T969">
        <f>IMAGE("https://mitra.stanford.edu/kundaje/oak/projects/neuro-variants/variant_position/credible/roussos_2024/variant_figures/roussos_2024.childhood.GLU/rs9567419_profile_position.png",4,220,900)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0.0187000676</v>
      </c>
      <c r="G970" t="n">
        <v>0.3818989821761036</v>
      </c>
      <c r="H970" t="n">
        <v>0.0113570842605511</v>
      </c>
      <c r="I970" t="n">
        <v>0.5131523003980175</v>
      </c>
      <c r="J970" t="n">
        <v>0.007735893764101</v>
      </c>
      <c r="K970" t="n">
        <v>0.6262815271437643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0.01516</v>
      </c>
      <c r="Q970" t="n">
        <v>-45</v>
      </c>
      <c r="R970" t="n">
        <v>0.04382</v>
      </c>
      <c r="S970">
        <f>IMAGE("https://mitra.stanford.edu/kundaje/oak/projects/neuro-variants/variant_position/credible/roussos_2024/variant_figures/roussos_2024.childhood.GLU/rs9567420_count_position.png",4,220,900)</f>
        <v/>
      </c>
      <c r="T970">
        <f>IMAGE("https://mitra.stanford.edu/kundaje/oak/projects/neuro-variants/variant_position/credible/roussos_2024/variant_figures/roussos_2024.childhood.GLU/rs9567420_profile_position.png",4,220,900)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-0.0224259419999999</v>
      </c>
      <c r="G971" t="n">
        <v>0.4433100246429747</v>
      </c>
      <c r="H971" t="n">
        <v>0.0140854621438235</v>
      </c>
      <c r="I971" t="n">
        <v>0.3053914565256516</v>
      </c>
      <c r="J971" t="n">
        <v>0.0230871459919436</v>
      </c>
      <c r="K971" t="n">
        <v>0.4745789268378402</v>
      </c>
      <c r="L971" t="b">
        <v>0</v>
      </c>
      <c r="M971" t="b">
        <v>0</v>
      </c>
      <c r="N971" t="inlineStr">
        <is>
          <t>ref</t>
        </is>
      </c>
      <c r="O971" t="n">
        <v>75</v>
      </c>
      <c r="P971" t="n">
        <v>0.0295</v>
      </c>
      <c r="Q971" t="n">
        <v>-75</v>
      </c>
      <c r="R971" t="n">
        <v>0.04773</v>
      </c>
      <c r="S971">
        <f>IMAGE("https://mitra.stanford.edu/kundaje/oak/projects/neuro-variants/variant_position/credible/roussos_2024/variant_figures/roussos_2024.childhood.GLU/rs61750791_count_position.png",4,220,900)</f>
        <v/>
      </c>
      <c r="T971">
        <f>IMAGE("https://mitra.stanford.edu/kundaje/oak/projects/neuro-variants/variant_position/credible/roussos_2024/variant_figures/roussos_2024.childhood.GLU/rs61750791_profile_position.png",4,220,900)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-0.1047148946</v>
      </c>
      <c r="G972" t="n">
        <v>0.0532520331871127</v>
      </c>
      <c r="H972" t="n">
        <v>0.0326315709973773</v>
      </c>
      <c r="I972" t="n">
        <v>0.0189478601499481</v>
      </c>
      <c r="J972" t="n">
        <v>0.0720821700474928</v>
      </c>
      <c r="K972" t="n">
        <v>0.2957065454856878</v>
      </c>
      <c r="L972" t="b">
        <v>1</v>
      </c>
      <c r="M972" t="b">
        <v>0</v>
      </c>
      <c r="N972" t="inlineStr">
        <is>
          <t>ref</t>
        </is>
      </c>
      <c r="O972" t="n">
        <v>90</v>
      </c>
      <c r="P972" t="n">
        <v>0.015366</v>
      </c>
      <c r="Q972" t="n">
        <v>75</v>
      </c>
      <c r="R972" t="n">
        <v>0.1345</v>
      </c>
      <c r="S972">
        <f>IMAGE("https://mitra.stanford.edu/kundaje/oak/projects/neuro-variants/variant_position/credible/roussos_2024/variant_figures/roussos_2024.childhood.GLU/rs4512969_count_position.png",4,220,900)</f>
        <v/>
      </c>
      <c r="T972">
        <f>IMAGE("https://mitra.stanford.edu/kundaje/oak/projects/neuro-variants/variant_position/credible/roussos_2024/variant_figures/roussos_2024.childhood.GLU/rs4512969_profile_position.png",4,220,900)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-0.07850399159999991</v>
      </c>
      <c r="G973" t="n">
        <v>0.08524840014649571</v>
      </c>
      <c r="H973" t="n">
        <v>0.0114638073288135</v>
      </c>
      <c r="I973" t="n">
        <v>0.4947459465223427</v>
      </c>
      <c r="J973" t="n">
        <v>0.0691666580815312</v>
      </c>
      <c r="K973" t="n">
        <v>0.3024048348104867</v>
      </c>
      <c r="L973" t="b">
        <v>0</v>
      </c>
      <c r="M973" t="b">
        <v>0</v>
      </c>
      <c r="N973" t="inlineStr">
        <is>
          <t>ref</t>
        </is>
      </c>
      <c r="O973" t="n">
        <v>25</v>
      </c>
      <c r="P973" t="n">
        <v>0.002422</v>
      </c>
      <c r="Q973" t="n">
        <v>30</v>
      </c>
      <c r="R973" t="n">
        <v>0.10596</v>
      </c>
      <c r="S973">
        <f>IMAGE("https://mitra.stanford.edu/kundaje/oak/projects/neuro-variants/variant_position/credible/roussos_2024/variant_figures/roussos_2024.childhood.GLU/rs17258158_count_position.png",4,220,900)</f>
        <v/>
      </c>
      <c r="T973">
        <f>IMAGE("https://mitra.stanford.edu/kundaje/oak/projects/neuro-variants/variant_position/credible/roussos_2024/variant_figures/roussos_2024.childhood.GLU/rs17258158_profile_position.png",4,220,900)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0.01146388196</v>
      </c>
      <c r="G974" t="n">
        <v>0.6007720003550103</v>
      </c>
      <c r="H974" t="n">
        <v>0.031910279213968</v>
      </c>
      <c r="I974" t="n">
        <v>0.0167222046014961</v>
      </c>
      <c r="J974" t="n">
        <v>0.0015309013361904</v>
      </c>
      <c r="K974" t="n">
        <v>0.8121123582132371</v>
      </c>
      <c r="L974" t="b">
        <v>0</v>
      </c>
      <c r="M974" t="b">
        <v>0</v>
      </c>
      <c r="N974" t="inlineStr">
        <is>
          <t>alt</t>
        </is>
      </c>
      <c r="O974" t="n">
        <v>100</v>
      </c>
      <c r="P974" t="n">
        <v>0.001957</v>
      </c>
      <c r="Q974" t="n">
        <v>100</v>
      </c>
      <c r="R974" t="n">
        <v>0.1166</v>
      </c>
      <c r="S974">
        <f>IMAGE("https://mitra.stanford.edu/kundaje/oak/projects/neuro-variants/variant_position/credible/roussos_2024/variant_figures/roussos_2024.childhood.GLU/rs73184532_count_position.png",4,220,900)</f>
        <v/>
      </c>
      <c r="T974">
        <f>IMAGE("https://mitra.stanford.edu/kundaje/oak/projects/neuro-variants/variant_position/credible/roussos_2024/variant_figures/roussos_2024.childhood.GLU/rs73184532_profile_position.png",4,220,900)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-0.342574828</v>
      </c>
      <c r="G975" t="n">
        <v>0.0013205662086776</v>
      </c>
      <c r="H975" t="n">
        <v>0.0620114381090706</v>
      </c>
      <c r="I975" t="n">
        <v>0.0012174930192394</v>
      </c>
      <c r="J975" t="n">
        <v>0.0470819124934323</v>
      </c>
      <c r="K975" t="n">
        <v>0.3677040512411645</v>
      </c>
      <c r="L975" t="b">
        <v>1</v>
      </c>
      <c r="M975" t="b">
        <v>1</v>
      </c>
      <c r="N975" t="inlineStr">
        <is>
          <t>ref</t>
        </is>
      </c>
      <c r="O975" t="n">
        <v>-35</v>
      </c>
      <c r="P975" t="n">
        <v>0.006042</v>
      </c>
      <c r="Q975" t="n">
        <v>65</v>
      </c>
      <c r="R975" t="n">
        <v>0.1084</v>
      </c>
      <c r="S975">
        <f>IMAGE("https://mitra.stanford.edu/kundaje/oak/projects/neuro-variants/variant_position/credible/roussos_2024/variant_figures/roussos_2024.childhood.GLU/rs73184537_count_position.png",4,220,900)</f>
        <v/>
      </c>
      <c r="T975">
        <f>IMAGE("https://mitra.stanford.edu/kundaje/oak/projects/neuro-variants/variant_position/credible/roussos_2024/variant_figures/roussos_2024.childhood.GLU/rs73184537_profile_position.png",4,220,900)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0.0197269726</v>
      </c>
      <c r="G976" t="n">
        <v>0.4499214531479922</v>
      </c>
      <c r="H976" t="n">
        <v>0.0373288674880274</v>
      </c>
      <c r="I976" t="n">
        <v>0.0085858802414472</v>
      </c>
      <c r="J976" t="n">
        <v>0.0032729970020707</v>
      </c>
      <c r="K976" t="n">
        <v>0.715682916069794</v>
      </c>
      <c r="L976" t="b">
        <v>0</v>
      </c>
      <c r="M976" t="b">
        <v>0</v>
      </c>
      <c r="N976" t="inlineStr">
        <is>
          <t>alt</t>
        </is>
      </c>
      <c r="O976" t="n">
        <v>70</v>
      </c>
      <c r="P976" t="n">
        <v>0.009950000000000001</v>
      </c>
      <c r="Q976" t="n">
        <v>-10</v>
      </c>
      <c r="R976" t="n">
        <v>0.02054</v>
      </c>
      <c r="S976">
        <f>IMAGE("https://mitra.stanford.edu/kundaje/oak/projects/neuro-variants/variant_position/credible/roussos_2024/variant_figures/roussos_2024.childhood.GLU/rs1924300_count_position.png",4,220,900)</f>
        <v/>
      </c>
      <c r="T976">
        <f>IMAGE("https://mitra.stanford.edu/kundaje/oak/projects/neuro-variants/variant_position/credible/roussos_2024/variant_figures/roussos_2024.childhood.GLU/rs1924300_profile_position.png",4,220,900)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0.001584564682</v>
      </c>
      <c r="G977" t="n">
        <v>0.8264372557903535</v>
      </c>
      <c r="H977" t="n">
        <v>0.009571873273723899</v>
      </c>
      <c r="I977" t="n">
        <v>0.7098127046398657</v>
      </c>
      <c r="J977" t="n">
        <v>0.0010982105143869</v>
      </c>
      <c r="K977" t="n">
        <v>0.8149939488311104</v>
      </c>
      <c r="L977" t="b">
        <v>0</v>
      </c>
      <c r="M977" t="b">
        <v>0</v>
      </c>
      <c r="N977" t="inlineStr">
        <is>
          <t>alt</t>
        </is>
      </c>
      <c r="O977" t="n">
        <v>-40</v>
      </c>
      <c r="P977" t="n">
        <v>0.00248</v>
      </c>
      <c r="Q977" t="n">
        <v>70</v>
      </c>
      <c r="R977" t="n">
        <v>0.1935</v>
      </c>
      <c r="S977">
        <f>IMAGE("https://mitra.stanford.edu/kundaje/oak/projects/neuro-variants/variant_position/credible/roussos_2024/variant_figures/roussos_2024.childhood.GLU/rs12858218_count_position.png",4,220,900)</f>
        <v/>
      </c>
      <c r="T977">
        <f>IMAGE("https://mitra.stanford.edu/kundaje/oak/projects/neuro-variants/variant_position/credible/roussos_2024/variant_figures/roussos_2024.childhood.GLU/rs12858218_profile_position.png",4,220,900)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0.0441351624</v>
      </c>
      <c r="G978" t="n">
        <v>0.2067479216138262</v>
      </c>
      <c r="H978" t="n">
        <v>0.0292847841035237</v>
      </c>
      <c r="I978" t="n">
        <v>0.0234671447945544</v>
      </c>
      <c r="J978" t="n">
        <v>0.0024735491979765</v>
      </c>
      <c r="K978" t="n">
        <v>0.767076699526288</v>
      </c>
      <c r="L978" t="b">
        <v>0</v>
      </c>
      <c r="M978" t="b">
        <v>0</v>
      </c>
      <c r="N978" t="inlineStr">
        <is>
          <t>alt</t>
        </is>
      </c>
      <c r="O978" t="n">
        <v>-35</v>
      </c>
      <c r="P978" t="n">
        <v>0.00891</v>
      </c>
      <c r="Q978" t="n">
        <v>-35</v>
      </c>
      <c r="R978" t="n">
        <v>0.04108</v>
      </c>
      <c r="S978">
        <f>IMAGE("https://mitra.stanford.edu/kundaje/oak/projects/neuro-variants/variant_position/credible/roussos_2024/variant_figures/roussos_2024.childhood.GLU/rs2025402_count_position.png",4,220,900)</f>
        <v/>
      </c>
      <c r="T978">
        <f>IMAGE("https://mitra.stanford.edu/kundaje/oak/projects/neuro-variants/variant_position/credible/roussos_2024/variant_figures/roussos_2024.childhood.GLU/rs2025402_profile_position.png",4,220,900)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0.047978905</v>
      </c>
      <c r="G979" t="n">
        <v>0.1877220545038472</v>
      </c>
      <c r="H979" t="n">
        <v>0.0131294805889955</v>
      </c>
      <c r="I979" t="n">
        <v>0.3622114464007441</v>
      </c>
      <c r="J979" t="n">
        <v>0.0001143540029051</v>
      </c>
      <c r="K979" t="n">
        <v>0.939464323191944</v>
      </c>
      <c r="L979" t="b">
        <v>0</v>
      </c>
      <c r="M979" t="b">
        <v>0</v>
      </c>
      <c r="N979" t="inlineStr">
        <is>
          <t>alt</t>
        </is>
      </c>
      <c r="O979" t="n">
        <v>-100</v>
      </c>
      <c r="P979" t="n">
        <v>0.0442</v>
      </c>
      <c r="Q979" t="n">
        <v>100</v>
      </c>
      <c r="R979" t="n">
        <v>0.02768</v>
      </c>
      <c r="S979">
        <f>IMAGE("https://mitra.stanford.edu/kundaje/oak/projects/neuro-variants/variant_position/credible/roussos_2024/variant_figures/roussos_2024.childhood.GLU/rs11620255_count_position.png",4,220,900)</f>
        <v/>
      </c>
      <c r="T979">
        <f>IMAGE("https://mitra.stanford.edu/kundaje/oak/projects/neuro-variants/variant_position/credible/roussos_2024/variant_figures/roussos_2024.childhood.GLU/rs11620255_profile_position.png",4,220,900)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-0.1509016648</v>
      </c>
      <c r="G980" t="n">
        <v>0.0164855823909321</v>
      </c>
      <c r="H980" t="n">
        <v>0.0153859635075272</v>
      </c>
      <c r="I980" t="n">
        <v>0.2295679428192991</v>
      </c>
      <c r="J980" t="n">
        <v>0.0003039137915048</v>
      </c>
      <c r="K980" t="n">
        <v>0.8976611552430195</v>
      </c>
      <c r="L980" t="b">
        <v>1</v>
      </c>
      <c r="M980" t="b">
        <v>0</v>
      </c>
      <c r="N980" t="inlineStr">
        <is>
          <t>ref</t>
        </is>
      </c>
      <c r="O980" t="n">
        <v>65</v>
      </c>
      <c r="P980" t="n">
        <v>0.00267</v>
      </c>
      <c r="Q980" t="n">
        <v>15</v>
      </c>
      <c r="R980" t="n">
        <v>0.04642</v>
      </c>
      <c r="S980">
        <f>IMAGE("https://mitra.stanford.edu/kundaje/oak/projects/neuro-variants/variant_position/credible/roussos_2024/variant_figures/roussos_2024.childhood.GLU/rs7330208_count_position.png",4,220,900)</f>
        <v/>
      </c>
      <c r="T980">
        <f>IMAGE("https://mitra.stanford.edu/kundaje/oak/projects/neuro-variants/variant_position/credible/roussos_2024/variant_figures/roussos_2024.childhood.GLU/rs7330208_profile_position.png",4,220,900)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0.01197630302</v>
      </c>
      <c r="G981" t="n">
        <v>0.5813725262045166</v>
      </c>
      <c r="H981" t="n">
        <v>0.0110698460893504</v>
      </c>
      <c r="I981" t="n">
        <v>0.5281687661919875</v>
      </c>
      <c r="J981" t="n">
        <v>0.001087908351963</v>
      </c>
      <c r="K981" t="n">
        <v>0.8239871719423452</v>
      </c>
      <c r="L981" t="b">
        <v>0</v>
      </c>
      <c r="M981" t="b">
        <v>0</v>
      </c>
      <c r="N981" t="inlineStr">
        <is>
          <t>alt</t>
        </is>
      </c>
      <c r="O981" t="n">
        <v>95</v>
      </c>
      <c r="P981" t="n">
        <v>0.00402</v>
      </c>
      <c r="Q981" t="n">
        <v>45</v>
      </c>
      <c r="R981" t="n">
        <v>0.1076</v>
      </c>
      <c r="S981">
        <f>IMAGE("https://mitra.stanford.edu/kundaje/oak/projects/neuro-variants/variant_position/credible/roussos_2024/variant_figures/roussos_2024.childhood.GLU/rs9566253_count_position.png",4,220,900)</f>
        <v/>
      </c>
      <c r="T981">
        <f>IMAGE("https://mitra.stanford.edu/kundaje/oak/projects/neuro-variants/variant_position/credible/roussos_2024/variant_figures/roussos_2024.childhood.GLU/rs9566253_profile_position.png",4,220,900)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0.17383236</v>
      </c>
      <c r="G982" t="n">
        <v>0.011561114628165</v>
      </c>
      <c r="H982" t="n">
        <v>0.0245083942123496</v>
      </c>
      <c r="I982" t="n">
        <v>0.0482985982784072</v>
      </c>
      <c r="J982" t="n">
        <v>0.0045545860076029</v>
      </c>
      <c r="K982" t="n">
        <v>0.6886737504660643</v>
      </c>
      <c r="L982" t="b">
        <v>1</v>
      </c>
      <c r="M982" t="b">
        <v>0</v>
      </c>
      <c r="N982" t="inlineStr">
        <is>
          <t>alt</t>
        </is>
      </c>
      <c r="O982" t="n">
        <v>70</v>
      </c>
      <c r="P982" t="n">
        <v>0.004593</v>
      </c>
      <c r="Q982" t="n">
        <v>40</v>
      </c>
      <c r="R982" t="n">
        <v>0.05762</v>
      </c>
      <c r="S982">
        <f>IMAGE("https://mitra.stanford.edu/kundaje/oak/projects/neuro-variants/variant_position/credible/roussos_2024/variant_figures/roussos_2024.childhood.GLU/rs1333376_count_position.png",4,220,900)</f>
        <v/>
      </c>
      <c r="T982">
        <f>IMAGE("https://mitra.stanford.edu/kundaje/oak/projects/neuro-variants/variant_position/credible/roussos_2024/variant_figures/roussos_2024.childhood.GLU/rs1333376_profile_position.png",4,220,900)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0.0130976609999999</v>
      </c>
      <c r="G983" t="n">
        <v>0.586333560081689</v>
      </c>
      <c r="H983" t="n">
        <v>0.0112301697303629</v>
      </c>
      <c r="I983" t="n">
        <v>0.5294370295121279</v>
      </c>
      <c r="J983" t="n">
        <v>6.696405575529893e-05</v>
      </c>
      <c r="K983" t="n">
        <v>0.953878810679316</v>
      </c>
      <c r="L983" t="b">
        <v>0</v>
      </c>
      <c r="M983" t="b">
        <v>0</v>
      </c>
      <c r="N983" t="inlineStr">
        <is>
          <t>alt</t>
        </is>
      </c>
      <c r="O983" t="n">
        <v>-15</v>
      </c>
      <c r="P983" t="n">
        <v>0.001511</v>
      </c>
      <c r="Q983" t="n">
        <v>-45</v>
      </c>
      <c r="R983" t="n">
        <v>0.05927</v>
      </c>
      <c r="S983">
        <f>IMAGE("https://mitra.stanford.edu/kundaje/oak/projects/neuro-variants/variant_position/credible/roussos_2024/variant_figures/roussos_2024.childhood.GLU/rs78587501_count_position.png",4,220,900)</f>
        <v/>
      </c>
      <c r="T983">
        <f>IMAGE("https://mitra.stanford.edu/kundaje/oak/projects/neuro-variants/variant_position/credible/roussos_2024/variant_figures/roussos_2024.childhood.GLU/rs78587501_profile_position.png",4,220,900)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-0.153733128</v>
      </c>
      <c r="G984" t="n">
        <v>0.0162325746225596</v>
      </c>
      <c r="H984" t="n">
        <v>0.0300448991303518</v>
      </c>
      <c r="I984" t="n">
        <v>0.0221744761251053</v>
      </c>
      <c r="J984" t="n">
        <v>0.0384754860045122</v>
      </c>
      <c r="K984" t="n">
        <v>0.4055039716282068</v>
      </c>
      <c r="L984" t="b">
        <v>1</v>
      </c>
      <c r="M984" t="b">
        <v>0</v>
      </c>
      <c r="N984" t="inlineStr">
        <is>
          <t>ref</t>
        </is>
      </c>
      <c r="O984" t="n">
        <v>-35</v>
      </c>
      <c r="P984" t="n">
        <v>0.003418</v>
      </c>
      <c r="Q984" t="n">
        <v>-70</v>
      </c>
      <c r="R984" t="n">
        <v>0.10754</v>
      </c>
      <c r="S984">
        <f>IMAGE("https://mitra.stanford.edu/kundaje/oak/projects/neuro-variants/variant_position/credible/roussos_2024/variant_figures/roussos_2024.childhood.GLU/rs2652578_count_position.png",4,220,900)</f>
        <v/>
      </c>
      <c r="T984">
        <f>IMAGE("https://mitra.stanford.edu/kundaje/oak/projects/neuro-variants/variant_position/credible/roussos_2024/variant_figures/roussos_2024.childhood.GLU/rs2652578_profile_position.png",4,220,900)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0.0275821382</v>
      </c>
      <c r="G985" t="n">
        <v>0.3237491114068628</v>
      </c>
      <c r="H985" t="n">
        <v>0.0103143239320351</v>
      </c>
      <c r="I985" t="n">
        <v>0.6305350504771533</v>
      </c>
      <c r="J985" t="n">
        <v>8.859859684547665e-05</v>
      </c>
      <c r="K985" t="n">
        <v>0.9457145420044972</v>
      </c>
      <c r="L985" t="b">
        <v>0</v>
      </c>
      <c r="M985" t="b">
        <v>0</v>
      </c>
      <c r="N985" t="inlineStr">
        <is>
          <t>alt</t>
        </is>
      </c>
      <c r="O985" t="n">
        <v>-80</v>
      </c>
      <c r="P985" t="n">
        <v>0.004063</v>
      </c>
      <c r="Q985" t="n">
        <v>-100</v>
      </c>
      <c r="R985" t="n">
        <v>0.07904</v>
      </c>
      <c r="S985">
        <f>IMAGE("https://mitra.stanford.edu/kundaje/oak/projects/neuro-variants/variant_position/credible/roussos_2024/variant_figures/roussos_2024.childhood.GLU/rs9548286_count_position.png",4,220,900)</f>
        <v/>
      </c>
      <c r="T985">
        <f>IMAGE("https://mitra.stanford.edu/kundaje/oak/projects/neuro-variants/variant_position/credible/roussos_2024/variant_figures/roussos_2024.childhood.GLU/rs9548286_profile_position.png",4,220,900)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-0.0032979061559999</v>
      </c>
      <c r="G986" t="n">
        <v>0.7633377425333547</v>
      </c>
      <c r="H986" t="n">
        <v>0.0300287262849267</v>
      </c>
      <c r="I986" t="n">
        <v>0.0214192375126752</v>
      </c>
      <c r="J986" t="n">
        <v>0.0010755457570543</v>
      </c>
      <c r="K986" t="n">
        <v>0.8240011300812363</v>
      </c>
      <c r="L986" t="b">
        <v>0</v>
      </c>
      <c r="M986" t="b">
        <v>0</v>
      </c>
      <c r="N986" t="inlineStr">
        <is>
          <t>ref</t>
        </is>
      </c>
      <c r="O986" t="n">
        <v>-100</v>
      </c>
      <c r="P986" t="n">
        <v>0.00522</v>
      </c>
      <c r="Q986" t="n">
        <v>-85</v>
      </c>
      <c r="R986" t="n">
        <v>0.1278</v>
      </c>
      <c r="S986">
        <f>IMAGE("https://mitra.stanford.edu/kundaje/oak/projects/neuro-variants/variant_position/credible/roussos_2024/variant_figures/roussos_2024.childhood.GLU/rs665175_count_position.png",4,220,900)</f>
        <v/>
      </c>
      <c r="T986">
        <f>IMAGE("https://mitra.stanford.edu/kundaje/oak/projects/neuro-variants/variant_position/credible/roussos_2024/variant_figures/roussos_2024.childhood.GLU/rs665175_profile_position.png",4,220,900)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-0.0041748219399999</v>
      </c>
      <c r="G987" t="n">
        <v>0.8568970650305671</v>
      </c>
      <c r="H987" t="n">
        <v>0.0077644828231205</v>
      </c>
      <c r="I987" t="n">
        <v>0.8975789322700894</v>
      </c>
      <c r="J987" t="n">
        <v>0.0016586481502466</v>
      </c>
      <c r="K987" t="n">
        <v>0.7822482243644981</v>
      </c>
      <c r="L987" t="b">
        <v>0</v>
      </c>
      <c r="M987" t="b">
        <v>0</v>
      </c>
      <c r="N987" t="inlineStr">
        <is>
          <t>ref</t>
        </is>
      </c>
      <c r="O987" t="n">
        <v>-65</v>
      </c>
      <c r="P987" t="n">
        <v>0.001488</v>
      </c>
      <c r="Q987" t="n">
        <v>100</v>
      </c>
      <c r="R987" t="n">
        <v>0.02417</v>
      </c>
      <c r="S987">
        <f>IMAGE("https://mitra.stanford.edu/kundaje/oak/projects/neuro-variants/variant_position/credible/roussos_2024/variant_figures/roussos_2024.childhood.GLU/rs651360_count_position.png",4,220,900)</f>
        <v/>
      </c>
      <c r="T987">
        <f>IMAGE("https://mitra.stanford.edu/kundaje/oak/projects/neuro-variants/variant_position/credible/roussos_2024/variant_figures/roussos_2024.childhood.GLU/rs651360_profile_position.png",4,220,900)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0.0507475698</v>
      </c>
      <c r="G988" t="n">
        <v>0.1751712011263097</v>
      </c>
      <c r="H988" t="n">
        <v>0.0142597381813619</v>
      </c>
      <c r="I988" t="n">
        <v>0.2883098252014933</v>
      </c>
      <c r="J988" t="n">
        <v>0.2086414538411611</v>
      </c>
      <c r="K988" t="n">
        <v>0.1455882970992555</v>
      </c>
      <c r="L988" t="b">
        <v>0</v>
      </c>
      <c r="M988" t="b">
        <v>0</v>
      </c>
      <c r="N988" t="inlineStr">
        <is>
          <t>alt</t>
        </is>
      </c>
      <c r="O988" t="n">
        <v>-25</v>
      </c>
      <c r="P988" t="n">
        <v>0.0006943</v>
      </c>
      <c r="Q988" t="n">
        <v>-75</v>
      </c>
      <c r="R988" t="n">
        <v>0.04956</v>
      </c>
      <c r="S988">
        <f>IMAGE("https://mitra.stanford.edu/kundaje/oak/projects/neuro-variants/variant_position/credible/roussos_2024/variant_figures/roussos_2024.childhood.GLU/rs7322623_count_position.png",4,220,900)</f>
        <v/>
      </c>
      <c r="T988">
        <f>IMAGE("https://mitra.stanford.edu/kundaje/oak/projects/neuro-variants/variant_position/credible/roussos_2024/variant_figures/roussos_2024.childhood.GLU/rs7322623_profile_position.png",4,220,900)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-0.0525270612</v>
      </c>
      <c r="G989" t="n">
        <v>0.1654292904099452</v>
      </c>
      <c r="H989" t="n">
        <v>0.0123854521246992</v>
      </c>
      <c r="I989" t="n">
        <v>0.4192149199990995</v>
      </c>
      <c r="J989" t="n">
        <v>0.0236403721141067</v>
      </c>
      <c r="K989" t="n">
        <v>0.4673202617130422</v>
      </c>
      <c r="L989" t="b">
        <v>0</v>
      </c>
      <c r="M989" t="b">
        <v>0</v>
      </c>
      <c r="N989" t="inlineStr">
        <is>
          <t>ref</t>
        </is>
      </c>
      <c r="O989" t="n">
        <v>-5</v>
      </c>
      <c r="P989" t="n">
        <v>0.000557</v>
      </c>
      <c r="Q989" t="n">
        <v>-70</v>
      </c>
      <c r="R989" t="n">
        <v>0.11414</v>
      </c>
      <c r="S989">
        <f>IMAGE("https://mitra.stanford.edu/kundaje/oak/projects/neuro-variants/variant_position/credible/roussos_2024/variant_figures/roussos_2024.childhood.GLU/rs276423_count_position.png",4,220,900)</f>
        <v/>
      </c>
      <c r="T989">
        <f>IMAGE("https://mitra.stanford.edu/kundaje/oak/projects/neuro-variants/variant_position/credible/roussos_2024/variant_figures/roussos_2024.childhood.GLU/rs276423_profile_position.png",4,220,900)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-0.1571555748</v>
      </c>
      <c r="G990" t="n">
        <v>0.014857181091423</v>
      </c>
      <c r="H990" t="n">
        <v>0.0177358396235309</v>
      </c>
      <c r="I990" t="n">
        <v>0.1468297362233387</v>
      </c>
      <c r="J990" t="n">
        <v>0.0968743239205908</v>
      </c>
      <c r="K990" t="n">
        <v>0.2567330892494135</v>
      </c>
      <c r="L990" t="b">
        <v>1</v>
      </c>
      <c r="M990" t="b">
        <v>0</v>
      </c>
      <c r="N990" t="inlineStr">
        <is>
          <t>ref</t>
        </is>
      </c>
      <c r="O990" t="n">
        <v>-10</v>
      </c>
      <c r="P990" t="n">
        <v>0.002563</v>
      </c>
      <c r="Q990" t="n">
        <v>-100</v>
      </c>
      <c r="R990" t="n">
        <v>0.0901</v>
      </c>
      <c r="S990">
        <f>IMAGE("https://mitra.stanford.edu/kundaje/oak/projects/neuro-variants/variant_position/credible/roussos_2024/variant_figures/roussos_2024.childhood.GLU/rs277293_count_position.png",4,220,900)</f>
        <v/>
      </c>
      <c r="T990">
        <f>IMAGE("https://mitra.stanford.edu/kundaje/oak/projects/neuro-variants/variant_position/credible/roussos_2024/variant_figures/roussos_2024.childhood.GLU/rs277293_profile_position.png",4,220,900)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-0.0357001312</v>
      </c>
      <c r="G991" t="n">
        <v>0.2820281940724426</v>
      </c>
      <c r="H991" t="n">
        <v>0.0161214664019435</v>
      </c>
      <c r="I991" t="n">
        <v>0.1996045943252255</v>
      </c>
      <c r="J991" t="n">
        <v>0.1930913698785374</v>
      </c>
      <c r="K991" t="n">
        <v>0.1531834856458479</v>
      </c>
      <c r="L991" t="b">
        <v>0</v>
      </c>
      <c r="M991" t="b">
        <v>0</v>
      </c>
      <c r="N991" t="inlineStr">
        <is>
          <t>ref</t>
        </is>
      </c>
      <c r="O991" t="n">
        <v>-35</v>
      </c>
      <c r="P991" t="n">
        <v>0.009140000000000001</v>
      </c>
      <c r="Q991" t="n">
        <v>-40</v>
      </c>
      <c r="R991" t="n">
        <v>0.157</v>
      </c>
      <c r="S991">
        <f>IMAGE("https://mitra.stanford.edu/kundaje/oak/projects/neuro-variants/variant_position/credible/roussos_2024/variant_figures/roussos_2024.childhood.GLU/rs9567243_count_position.png",4,220,900)</f>
        <v/>
      </c>
      <c r="T991">
        <f>IMAGE("https://mitra.stanford.edu/kundaje/oak/projects/neuro-variants/variant_position/credible/roussos_2024/variant_figures/roussos_2024.childhood.GLU/rs9567243_profile_position.png",4,220,900)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-0.0549140094</v>
      </c>
      <c r="G992" t="n">
        <v>0.156430363068602</v>
      </c>
      <c r="H992" t="n">
        <v>0.008523171123165901</v>
      </c>
      <c r="I992" t="n">
        <v>0.8230008223516989</v>
      </c>
      <c r="J992" t="n">
        <v>0.0332605313855377</v>
      </c>
      <c r="K992" t="n">
        <v>0.4112122335850613</v>
      </c>
      <c r="L992" t="b">
        <v>0</v>
      </c>
      <c r="M992" t="b">
        <v>0</v>
      </c>
      <c r="N992" t="inlineStr">
        <is>
          <t>ref</t>
        </is>
      </c>
      <c r="O992" t="n">
        <v>-100</v>
      </c>
      <c r="P992" t="n">
        <v>0.00453</v>
      </c>
      <c r="Q992" t="n">
        <v>95</v>
      </c>
      <c r="R992" t="n">
        <v>0.009094</v>
      </c>
      <c r="S992">
        <f>IMAGE("https://mitra.stanford.edu/kundaje/oak/projects/neuro-variants/variant_position/credible/roussos_2024/variant_figures/roussos_2024.childhood.GLU/rs12864863_count_position.png",4,220,900)</f>
        <v/>
      </c>
      <c r="T992">
        <f>IMAGE("https://mitra.stanford.edu/kundaje/oak/projects/neuro-variants/variant_position/credible/roussos_2024/variant_figures/roussos_2024.childhood.GLU/rs12864863_profile_position.png",4,220,900)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-0.10081198</v>
      </c>
      <c r="G993" t="n">
        <v>0.0455090556261099</v>
      </c>
      <c r="H993" t="n">
        <v>0.0332944870607191</v>
      </c>
      <c r="I993" t="n">
        <v>0.0151211671854068</v>
      </c>
      <c r="J993" t="n">
        <v>0.0524699434411282</v>
      </c>
      <c r="K993" t="n">
        <v>0.3507781546567102</v>
      </c>
      <c r="L993" t="b">
        <v>1</v>
      </c>
      <c r="M993" t="b">
        <v>0</v>
      </c>
      <c r="N993" t="inlineStr">
        <is>
          <t>ref</t>
        </is>
      </c>
      <c r="O993" t="n">
        <v>-100</v>
      </c>
      <c r="P993" t="n">
        <v>0.003895</v>
      </c>
      <c r="Q993" t="n">
        <v>55</v>
      </c>
      <c r="R993" t="n">
        <v>0.04175</v>
      </c>
      <c r="S993">
        <f>IMAGE("https://mitra.stanford.edu/kundaje/oak/projects/neuro-variants/variant_position/credible/roussos_2024/variant_figures/roussos_2024.childhood.GLU/rs11147926_count_position.png",4,220,900)</f>
        <v/>
      </c>
      <c r="T993">
        <f>IMAGE("https://mitra.stanford.edu/kundaje/oak/projects/neuro-variants/variant_position/credible/roussos_2024/variant_figures/roussos_2024.childhood.GLU/rs11147926_profile_position.png",4,220,900)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-0.0052243136</v>
      </c>
      <c r="G994" t="n">
        <v>0.1949330265464754</v>
      </c>
      <c r="H994" t="n">
        <v>0.0153003343342355</v>
      </c>
      <c r="I994" t="n">
        <v>0.2311538990462758</v>
      </c>
      <c r="J994" t="n">
        <v>0.0252042403700536</v>
      </c>
      <c r="K994" t="n">
        <v>0.4612356852152863</v>
      </c>
      <c r="L994" t="b">
        <v>0</v>
      </c>
      <c r="M994" t="b">
        <v>0</v>
      </c>
      <c r="N994" t="inlineStr">
        <is>
          <t>ref</t>
        </is>
      </c>
      <c r="O994" t="n">
        <v>-35</v>
      </c>
      <c r="P994" t="n">
        <v>0.003113</v>
      </c>
      <c r="Q994" t="n">
        <v>85</v>
      </c>
      <c r="R994" t="n">
        <v>0.0313</v>
      </c>
      <c r="S994">
        <f>IMAGE("https://mitra.stanford.edu/kundaje/oak/projects/neuro-variants/variant_position/credible/roussos_2024/variant_figures/roussos_2024.childhood.GLU/rs11619519_count_position.png",4,220,900)</f>
        <v/>
      </c>
      <c r="T994">
        <f>IMAGE("https://mitra.stanford.edu/kundaje/oak/projects/neuro-variants/variant_position/credible/roussos_2024/variant_figures/roussos_2024.childhood.GLU/rs11619519_profile_position.png",4,220,900)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-0.0225535856</v>
      </c>
      <c r="G995" t="n">
        <v>0.4296330114662625</v>
      </c>
      <c r="H995" t="n">
        <v>0.009857556116832601</v>
      </c>
      <c r="I995" t="n">
        <v>0.6783889001620738</v>
      </c>
      <c r="J995" t="n">
        <v>0.0688256565053004</v>
      </c>
      <c r="K995" t="n">
        <v>0.2991884053291041</v>
      </c>
      <c r="L995" t="b">
        <v>0</v>
      </c>
      <c r="M995" t="b">
        <v>0</v>
      </c>
      <c r="N995" t="inlineStr">
        <is>
          <t>ref</t>
        </is>
      </c>
      <c r="O995" t="n">
        <v>95</v>
      </c>
      <c r="P995" t="n">
        <v>0.02103</v>
      </c>
      <c r="Q995" t="n">
        <v>-75</v>
      </c>
      <c r="R995" t="n">
        <v>0.1214</v>
      </c>
      <c r="S995">
        <f>IMAGE("https://mitra.stanford.edu/kundaje/oak/projects/neuro-variants/variant_position/credible/roussos_2024/variant_figures/roussos_2024.childhood.GLU/rs11147928_count_position.png",4,220,900)</f>
        <v/>
      </c>
      <c r="T995">
        <f>IMAGE("https://mitra.stanford.edu/kundaje/oak/projects/neuro-variants/variant_position/credible/roussos_2024/variant_figures/roussos_2024.childhood.GLU/rs11147928_profile_position.png",4,220,900)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0.0543996068</v>
      </c>
      <c r="G996" t="n">
        <v>0.1545938486963249</v>
      </c>
      <c r="H996" t="n">
        <v>0.0158785553581775</v>
      </c>
      <c r="I996" t="n">
        <v>0.2081288162746008</v>
      </c>
      <c r="J996" t="n">
        <v>0.08033214171654619</v>
      </c>
      <c r="K996" t="n">
        <v>0.2764625939471474</v>
      </c>
      <c r="L996" t="b">
        <v>0</v>
      </c>
      <c r="M996" t="b">
        <v>0</v>
      </c>
      <c r="N996" t="inlineStr">
        <is>
          <t>alt</t>
        </is>
      </c>
      <c r="O996" t="n">
        <v>100</v>
      </c>
      <c r="P996" t="n">
        <v>0.02039</v>
      </c>
      <c r="Q996" t="n">
        <v>-80</v>
      </c>
      <c r="R996" t="n">
        <v>0.1306</v>
      </c>
      <c r="S996">
        <f>IMAGE("https://mitra.stanford.edu/kundaje/oak/projects/neuro-variants/variant_position/credible/roussos_2024/variant_figures/roussos_2024.childhood.GLU/rs10870772_count_position.png",4,220,900)</f>
        <v/>
      </c>
      <c r="T996">
        <f>IMAGE("https://mitra.stanford.edu/kundaje/oak/projects/neuro-variants/variant_position/credible/roussos_2024/variant_figures/roussos_2024.childhood.GLU/rs10870772_profile_position.png",4,220,900)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0.00730096932</v>
      </c>
      <c r="G997" t="n">
        <v>0.7148620524450493</v>
      </c>
      <c r="H997" t="n">
        <v>0.0306980436633815</v>
      </c>
      <c r="I997" t="n">
        <v>0.0195544467299658</v>
      </c>
      <c r="J997" t="n">
        <v>0.0446907805948468</v>
      </c>
      <c r="K997" t="n">
        <v>0.3689328584256391</v>
      </c>
      <c r="L997" t="b">
        <v>1</v>
      </c>
      <c r="M997" t="b">
        <v>0</v>
      </c>
      <c r="N997" t="inlineStr">
        <is>
          <t>alt</t>
        </is>
      </c>
      <c r="O997" t="n">
        <v>-60</v>
      </c>
      <c r="P997" t="n">
        <v>0.001677</v>
      </c>
      <c r="Q997" t="n">
        <v>80</v>
      </c>
      <c r="R997" t="n">
        <v>0.11926</v>
      </c>
      <c r="S997">
        <f>IMAGE("https://mitra.stanford.edu/kundaje/oak/projects/neuro-variants/variant_position/credible/roussos_2024/variant_figures/roussos_2024.childhood.GLU/rs12872943_count_position.png",4,220,900)</f>
        <v/>
      </c>
      <c r="T997">
        <f>IMAGE("https://mitra.stanford.edu/kundaje/oak/projects/neuro-variants/variant_position/credible/roussos_2024/variant_figures/roussos_2024.childhood.GLU/rs12872943_profile_position.png",4,220,900)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-0.1909019827999999</v>
      </c>
      <c r="G998" t="n">
        <v>0.009326583406261999</v>
      </c>
      <c r="H998" t="n">
        <v>0.0390062786405782</v>
      </c>
      <c r="I998" t="n">
        <v>0.0075432837648729</v>
      </c>
      <c r="J998" t="n">
        <v>0.0015205991737665</v>
      </c>
      <c r="K998" t="n">
        <v>0.7924501536660165</v>
      </c>
      <c r="L998" t="b">
        <v>1</v>
      </c>
      <c r="M998" t="b">
        <v>1</v>
      </c>
      <c r="N998" t="inlineStr">
        <is>
          <t>ref</t>
        </is>
      </c>
      <c r="O998" t="n">
        <v>-20</v>
      </c>
      <c r="P998" t="n">
        <v>0.005783</v>
      </c>
      <c r="Q998" t="n">
        <v>60</v>
      </c>
      <c r="R998" t="n">
        <v>0.09424</v>
      </c>
      <c r="S998">
        <f>IMAGE("https://mitra.stanford.edu/kundaje/oak/projects/neuro-variants/variant_position/credible/roussos_2024/variant_figures/roussos_2024.childhood.GLU/rs2875541_count_position.png",4,220,900)</f>
        <v/>
      </c>
      <c r="T998">
        <f>IMAGE("https://mitra.stanford.edu/kundaje/oak/projects/neuro-variants/variant_position/credible/roussos_2024/variant_figures/roussos_2024.childhood.GLU/rs2875541_profile_position.png",4,220,900)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-0.03509575058</v>
      </c>
      <c r="G999" t="n">
        <v>0.3165187919165053</v>
      </c>
      <c r="H999" t="n">
        <v>0.0190700535433167</v>
      </c>
      <c r="I999" t="n">
        <v>0.1284847785092298</v>
      </c>
      <c r="J999" t="n">
        <v>0.07848805464266941</v>
      </c>
      <c r="K999" t="n">
        <v>0.2871135588406417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0.01167</v>
      </c>
      <c r="Q999" t="n">
        <v>-75</v>
      </c>
      <c r="R999" t="n">
        <v>0.1544</v>
      </c>
      <c r="S999">
        <f>IMAGE("https://mitra.stanford.edu/kundaje/oak/projects/neuro-variants/variant_position/credible/roussos_2024/variant_figures/roussos_2024.childhood.GLU/rs4942255_count_position.png",4,220,900)</f>
        <v/>
      </c>
      <c r="T999">
        <f>IMAGE("https://mitra.stanford.edu/kundaje/oak/projects/neuro-variants/variant_position/credible/roussos_2024/variant_figures/roussos_2024.childhood.GLU/rs4942255_profile_position.png",4,220,900)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-0.0182865926</v>
      </c>
      <c r="G1000" t="n">
        <v>0.3453447635718916</v>
      </c>
      <c r="H1000" t="n">
        <v>0.022218485633453</v>
      </c>
      <c r="I1000" t="n">
        <v>0.0677783886211398</v>
      </c>
      <c r="J1000" t="n">
        <v>0.0122894495554616</v>
      </c>
      <c r="K1000" t="n">
        <v>0.56045873018118</v>
      </c>
      <c r="L1000" t="b">
        <v>0</v>
      </c>
      <c r="M1000" t="b">
        <v>0</v>
      </c>
      <c r="N1000" t="inlineStr">
        <is>
          <t>ref</t>
        </is>
      </c>
      <c r="O1000" t="n">
        <v>85</v>
      </c>
      <c r="P1000" t="n">
        <v>0.001892</v>
      </c>
      <c r="Q1000" t="n">
        <v>100</v>
      </c>
      <c r="R1000" t="n">
        <v>0.05444</v>
      </c>
      <c r="S1000">
        <f>IMAGE("https://mitra.stanford.edu/kundaje/oak/projects/neuro-variants/variant_position/credible/roussos_2024/variant_figures/roussos_2024.childhood.GLU/rs1445557_count_position.png",4,220,900)</f>
        <v/>
      </c>
      <c r="T1000">
        <f>IMAGE("https://mitra.stanford.edu/kundaje/oak/projects/neuro-variants/variant_position/credible/roussos_2024/variant_figures/roussos_2024.childhood.GLU/rs1445557_profile_position.png",4,220,900)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0.0232444451</v>
      </c>
      <c r="G1001" t="n">
        <v>0.3912270963606967</v>
      </c>
      <c r="H1001" t="n">
        <v>0.0130653350817432</v>
      </c>
      <c r="I1001" t="n">
        <v>0.3797226634616634</v>
      </c>
      <c r="J1001" t="n">
        <v>0.0771395015813818</v>
      </c>
      <c r="K1001" t="n">
        <v>0.2918785455446169</v>
      </c>
      <c r="L1001" t="b">
        <v>0</v>
      </c>
      <c r="M1001" t="b">
        <v>0</v>
      </c>
      <c r="N1001" t="inlineStr">
        <is>
          <t>alt</t>
        </is>
      </c>
      <c r="O1001" t="n">
        <v>-75</v>
      </c>
      <c r="P1001" t="n">
        <v>0.0038</v>
      </c>
      <c r="Q1001" t="n">
        <v>100</v>
      </c>
      <c r="R1001" t="n">
        <v>0.0515</v>
      </c>
      <c r="S1001">
        <f>IMAGE("https://mitra.stanford.edu/kundaje/oak/projects/neuro-variants/variant_position/credible/roussos_2024/variant_figures/roussos_2024.childhood.GLU/rs1373903_count_position.png",4,220,900)</f>
        <v/>
      </c>
      <c r="T1001">
        <f>IMAGE("https://mitra.stanford.edu/kundaje/oak/projects/neuro-variants/variant_position/credible/roussos_2024/variant_figures/roussos_2024.childhood.GLU/rs1373903_profile_position.png",4,220,900)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0.0024135179199999</v>
      </c>
      <c r="G1002" t="n">
        <v>0.8183577056784241</v>
      </c>
      <c r="H1002" t="n">
        <v>0.0162344929745707</v>
      </c>
      <c r="I1002" t="n">
        <v>0.1979656004252647</v>
      </c>
      <c r="J1002" t="n">
        <v>0.0012795285730474</v>
      </c>
      <c r="K1002" t="n">
        <v>0.8094929299422974</v>
      </c>
      <c r="L1002" t="b">
        <v>0</v>
      </c>
      <c r="M1002" t="b">
        <v>0</v>
      </c>
      <c r="N1002" t="inlineStr">
        <is>
          <t>alt</t>
        </is>
      </c>
      <c r="O1002" t="n">
        <v>100</v>
      </c>
      <c r="P1002" t="n">
        <v>0.01153</v>
      </c>
      <c r="Q1002" t="n">
        <v>100</v>
      </c>
      <c r="R1002" t="n">
        <v>0.135</v>
      </c>
      <c r="S1002">
        <f>IMAGE("https://mitra.stanford.edu/kundaje/oak/projects/neuro-variants/variant_position/credible/roussos_2024/variant_figures/roussos_2024.childhood.GLU/rs7994883_count_position.png",4,220,900)</f>
        <v/>
      </c>
      <c r="T1002">
        <f>IMAGE("https://mitra.stanford.edu/kundaje/oak/projects/neuro-variants/variant_position/credible/roussos_2024/variant_figures/roussos_2024.childhood.GLU/rs7994883_profile_position.png",4,220,900)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0.00477645136</v>
      </c>
      <c r="G1003" t="n">
        <v>0.6833778190626441</v>
      </c>
      <c r="H1003" t="n">
        <v>0.0124351945943368</v>
      </c>
      <c r="I1003" t="n">
        <v>0.4210750176362626</v>
      </c>
      <c r="J1003" t="n">
        <v>0.562149855254618</v>
      </c>
      <c r="K1003" t="n">
        <v>0.0320544387354181</v>
      </c>
      <c r="L1003" t="b">
        <v>0</v>
      </c>
      <c r="M1003" t="b">
        <v>0</v>
      </c>
      <c r="N1003" t="inlineStr">
        <is>
          <t>alt</t>
        </is>
      </c>
      <c r="O1003" t="n">
        <v>-100</v>
      </c>
      <c r="P1003" t="n">
        <v>0.0094</v>
      </c>
      <c r="Q1003" t="n">
        <v>95</v>
      </c>
      <c r="R1003" t="n">
        <v>0.1307</v>
      </c>
      <c r="S1003">
        <f>IMAGE("https://mitra.stanford.edu/kundaje/oak/projects/neuro-variants/variant_position/credible/roussos_2024/variant_figures/roussos_2024.childhood.GLU/rs1359541_count_position.png",4,220,900)</f>
        <v/>
      </c>
      <c r="T1003">
        <f>IMAGE("https://mitra.stanford.edu/kundaje/oak/projects/neuro-variants/variant_position/credible/roussos_2024/variant_figures/roussos_2024.childhood.GLU/rs1359541_profile_position.png",4,220,900)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0.0892656516</v>
      </c>
      <c r="G1004" t="n">
        <v>0.0653723191959958</v>
      </c>
      <c r="H1004" t="n">
        <v>0.0181146953870791</v>
      </c>
      <c r="I1004" t="n">
        <v>0.1411350992389076</v>
      </c>
      <c r="J1004" t="n">
        <v>0.1351303738654743</v>
      </c>
      <c r="K1004" t="n">
        <v>0.2030554429727324</v>
      </c>
      <c r="L1004" t="b">
        <v>0</v>
      </c>
      <c r="M1004" t="b">
        <v>0</v>
      </c>
      <c r="N1004" t="inlineStr">
        <is>
          <t>alt</t>
        </is>
      </c>
      <c r="O1004" t="n">
        <v>-15</v>
      </c>
      <c r="P1004" t="n">
        <v>0.0007324</v>
      </c>
      <c r="Q1004" t="n">
        <v>-30</v>
      </c>
      <c r="R1004" t="n">
        <v>0.02698</v>
      </c>
      <c r="S1004">
        <f>IMAGE("https://mitra.stanford.edu/kundaje/oak/projects/neuro-variants/variant_position/credible/roussos_2024/variant_figures/roussos_2024.childhood.GLU/rs9316462_count_position.png",4,220,900)</f>
        <v/>
      </c>
      <c r="T1004">
        <f>IMAGE("https://mitra.stanford.edu/kundaje/oak/projects/neuro-variants/variant_position/credible/roussos_2024/variant_figures/roussos_2024.childhood.GLU/rs9316462_profile_position.png",4,220,900)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0.0301656029999999</v>
      </c>
      <c r="G1005" t="n">
        <v>0.3210407754270749</v>
      </c>
      <c r="H1005" t="n">
        <v>0.0290995364454655</v>
      </c>
      <c r="I1005" t="n">
        <v>0.0234831188476511</v>
      </c>
      <c r="J1005" t="n">
        <v>0.0007273326671267</v>
      </c>
      <c r="K1005" t="n">
        <v>0.8556556131487985</v>
      </c>
      <c r="L1005" t="b">
        <v>0</v>
      </c>
      <c r="M1005" t="b">
        <v>0</v>
      </c>
      <c r="N1005" t="inlineStr">
        <is>
          <t>alt</t>
        </is>
      </c>
      <c r="O1005" t="n">
        <v>100</v>
      </c>
      <c r="P1005" t="n">
        <v>0.005527</v>
      </c>
      <c r="Q1005" t="n">
        <v>100</v>
      </c>
      <c r="R1005" t="n">
        <v>0.1232</v>
      </c>
      <c r="S1005">
        <f>IMAGE("https://mitra.stanford.edu/kundaje/oak/projects/neuro-variants/variant_position/credible/roussos_2024/variant_figures/roussos_2024.childhood.GLU/rs4619272_count_position.png",4,220,900)</f>
        <v/>
      </c>
      <c r="T1005">
        <f>IMAGE("https://mitra.stanford.edu/kundaje/oak/projects/neuro-variants/variant_position/credible/roussos_2024/variant_figures/roussos_2024.childhood.GLU/rs4619272_profile_position.png",4,220,900)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0.3202872499999999</v>
      </c>
      <c r="G1006" t="n">
        <v>0.0016044764835626</v>
      </c>
      <c r="H1006" t="n">
        <v>0.0541867787862603</v>
      </c>
      <c r="I1006" t="n">
        <v>0.0020658686614438</v>
      </c>
      <c r="J1006" t="n">
        <v>0.1908269545777658</v>
      </c>
      <c r="K1006" t="n">
        <v>0.1546435913008108</v>
      </c>
      <c r="L1006" t="b">
        <v>1</v>
      </c>
      <c r="M1006" t="b">
        <v>1</v>
      </c>
      <c r="N1006" t="inlineStr">
        <is>
          <t>alt</t>
        </is>
      </c>
      <c r="O1006" t="n">
        <v>-75</v>
      </c>
      <c r="P1006" t="n">
        <v>0.004578</v>
      </c>
      <c r="Q1006" t="n">
        <v>30</v>
      </c>
      <c r="R1006" t="n">
        <v>0.08594</v>
      </c>
      <c r="S1006">
        <f>IMAGE("https://mitra.stanford.edu/kundaje/oak/projects/neuro-variants/variant_position/credible/roussos_2024/variant_figures/roussos_2024.childhood.GLU/rs7989647_count_position.png",4,220,900)</f>
        <v/>
      </c>
      <c r="T1006">
        <f>IMAGE("https://mitra.stanford.edu/kundaje/oak/projects/neuro-variants/variant_position/credible/roussos_2024/variant_figures/roussos_2024.childhood.GLU/rs7989647_profile_position.png",4,220,900)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-0.0206187497</v>
      </c>
      <c r="G1007" t="n">
        <v>0.4558261629911602</v>
      </c>
      <c r="H1007" t="n">
        <v>0.009912940624463001</v>
      </c>
      <c r="I1007" t="n">
        <v>0.6616359311629904</v>
      </c>
      <c r="J1007" t="n">
        <v>0.0003234879001102</v>
      </c>
      <c r="K1007" t="n">
        <v>0.888731804095275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0.025</v>
      </c>
      <c r="Q1007" t="n">
        <v>-100</v>
      </c>
      <c r="R1007" t="n">
        <v>0.06915</v>
      </c>
      <c r="S1007">
        <f>IMAGE("https://mitra.stanford.edu/kundaje/oak/projects/neuro-variants/variant_position/credible/roussos_2024/variant_figures/roussos_2024.childhood.GLU/rs2806731_count_position.png",4,220,900)</f>
        <v/>
      </c>
      <c r="T1007">
        <f>IMAGE("https://mitra.stanford.edu/kundaje/oak/projects/neuro-variants/variant_position/credible/roussos_2024/variant_figures/roussos_2024.childhood.GLU/rs2806731_profile_position.png",4,220,900)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-0.1194819662</v>
      </c>
      <c r="G1008" t="n">
        <v>0.0303230659018425</v>
      </c>
      <c r="H1008" t="n">
        <v>0.0116628251071643</v>
      </c>
      <c r="I1008" t="n">
        <v>0.4836086389220922</v>
      </c>
      <c r="J1008" t="n">
        <v>0.0490887737336066</v>
      </c>
      <c r="K1008" t="n">
        <v>0.3622503400358099</v>
      </c>
      <c r="L1008" t="b">
        <v>0</v>
      </c>
      <c r="M1008" t="b">
        <v>0</v>
      </c>
      <c r="N1008" t="inlineStr">
        <is>
          <t>ref</t>
        </is>
      </c>
      <c r="O1008" t="n">
        <v>-95</v>
      </c>
      <c r="P1008" t="n">
        <v>0.0063</v>
      </c>
      <c r="Q1008" t="n">
        <v>65</v>
      </c>
      <c r="R1008" t="n">
        <v>0.04053</v>
      </c>
      <c r="S1008">
        <f>IMAGE("https://mitra.stanford.edu/kundaje/oak/projects/neuro-variants/variant_position/credible/roussos_2024/variant_figures/roussos_2024.childhood.GLU/rs2806738_count_position.png",4,220,900)</f>
        <v/>
      </c>
      <c r="T1008">
        <f>IMAGE("https://mitra.stanford.edu/kundaje/oak/projects/neuro-variants/variant_position/credible/roussos_2024/variant_figures/roussos_2024.childhood.GLU/rs2806738_profile_position.png",4,220,900)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-0.0385891368</v>
      </c>
      <c r="G1009" t="n">
        <v>0.2527806651003357</v>
      </c>
      <c r="H1009" t="n">
        <v>0.0106280803924102</v>
      </c>
      <c r="I1009" t="n">
        <v>0.553902462876666</v>
      </c>
      <c r="J1009" t="n">
        <v>0.1687844478556048</v>
      </c>
      <c r="K1009" t="n">
        <v>0.1786096186804341</v>
      </c>
      <c r="L1009" t="b">
        <v>0</v>
      </c>
      <c r="M1009" t="b">
        <v>0</v>
      </c>
      <c r="N1009" t="inlineStr">
        <is>
          <t>ref</t>
        </is>
      </c>
      <c r="O1009" t="n">
        <v>60</v>
      </c>
      <c r="P1009" t="n">
        <v>0.00827</v>
      </c>
      <c r="Q1009" t="n">
        <v>-100</v>
      </c>
      <c r="R1009" t="n">
        <v>0.06506000000000001</v>
      </c>
      <c r="S1009">
        <f>IMAGE("https://mitra.stanford.edu/kundaje/oak/projects/neuro-variants/variant_position/credible/roussos_2024/variant_figures/roussos_2024.childhood.GLU/rs3120869_count_position.png",4,220,900)</f>
        <v/>
      </c>
      <c r="T1009">
        <f>IMAGE("https://mitra.stanford.edu/kundaje/oak/projects/neuro-variants/variant_position/credible/roussos_2024/variant_figures/roussos_2024.childhood.GLU/rs3120869_profile_position.png",4,220,900)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0.02834095852</v>
      </c>
      <c r="G1010" t="n">
        <v>0.3502536793724064</v>
      </c>
      <c r="H1010" t="n">
        <v>0.0113611841073419</v>
      </c>
      <c r="I1010" t="n">
        <v>0.5170665834036706</v>
      </c>
      <c r="J1010" t="n">
        <v>0.0210256832909227</v>
      </c>
      <c r="K1010" t="n">
        <v>0.4834120860217057</v>
      </c>
      <c r="L1010" t="b">
        <v>0</v>
      </c>
      <c r="M1010" t="b">
        <v>0</v>
      </c>
      <c r="N1010" t="inlineStr">
        <is>
          <t>alt</t>
        </is>
      </c>
      <c r="O1010" t="n">
        <v>90</v>
      </c>
      <c r="P1010" t="n">
        <v>0.003906</v>
      </c>
      <c r="Q1010" t="n">
        <v>-50</v>
      </c>
      <c r="R1010" t="n">
        <v>0.07199999999999999</v>
      </c>
      <c r="S1010">
        <f>IMAGE("https://mitra.stanford.edu/kundaje/oak/projects/neuro-variants/variant_position/credible/roussos_2024/variant_figures/roussos_2024.childhood.GLU/rs9527348_count_position.png",4,220,900)</f>
        <v/>
      </c>
      <c r="T1010">
        <f>IMAGE("https://mitra.stanford.edu/kundaje/oak/projects/neuro-variants/variant_position/credible/roussos_2024/variant_figures/roussos_2024.childhood.GLU/rs9527348_profile_position.png",4,220,900)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0.06507042586</v>
      </c>
      <c r="G1011" t="n">
        <v>0.1169113525450254</v>
      </c>
      <c r="H1011" t="n">
        <v>0.0207439628169443</v>
      </c>
      <c r="I1011" t="n">
        <v>0.0863796811190522</v>
      </c>
      <c r="J1011" t="n">
        <v>0.2714362244635148</v>
      </c>
      <c r="K1011" t="n">
        <v>0.1091423965621347</v>
      </c>
      <c r="L1011" t="b">
        <v>0</v>
      </c>
      <c r="M1011" t="b">
        <v>0</v>
      </c>
      <c r="N1011" t="inlineStr">
        <is>
          <t>alt</t>
        </is>
      </c>
      <c r="O1011" t="n">
        <v>45</v>
      </c>
      <c r="P1011" t="n">
        <v>0.00306</v>
      </c>
      <c r="Q1011" t="n">
        <v>30</v>
      </c>
      <c r="R1011" t="n">
        <v>0.06809999999999999</v>
      </c>
      <c r="S1011">
        <f>IMAGE("https://mitra.stanford.edu/kundaje/oak/projects/neuro-variants/variant_position/credible/roussos_2024/variant_figures/roussos_2024.childhood.GLU/rs3124390_count_position.png",4,220,900)</f>
        <v/>
      </c>
      <c r="T1011">
        <f>IMAGE("https://mitra.stanford.edu/kundaje/oak/projects/neuro-variants/variant_position/credible/roussos_2024/variant_figures/roussos_2024.childhood.GLU/rs3124390_profile_position.png",4,220,900)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-0.009225352779999901</v>
      </c>
      <c r="G1012" t="n">
        <v>0.6951213560159719</v>
      </c>
      <c r="H1012" t="n">
        <v>0.0129496150233638</v>
      </c>
      <c r="I1012" t="n">
        <v>0.3756996446224981</v>
      </c>
      <c r="J1012" t="n">
        <v>0.0117753716505094</v>
      </c>
      <c r="K1012" t="n">
        <v>0.5728061504509907</v>
      </c>
      <c r="L1012" t="b">
        <v>0</v>
      </c>
      <c r="M1012" t="b">
        <v>0</v>
      </c>
      <c r="N1012" t="inlineStr">
        <is>
          <t>ref</t>
        </is>
      </c>
      <c r="O1012" t="n">
        <v>85</v>
      </c>
      <c r="P1012" t="n">
        <v>0.02393</v>
      </c>
      <c r="Q1012" t="n">
        <v>-85</v>
      </c>
      <c r="R1012" t="n">
        <v>0.06354</v>
      </c>
      <c r="S1012">
        <f>IMAGE("https://mitra.stanford.edu/kundaje/oak/projects/neuro-variants/variant_position/credible/roussos_2024/variant_figures/roussos_2024.childhood.GLU/rs9537039_count_position.png",4,220,900)</f>
        <v/>
      </c>
      <c r="T1012">
        <f>IMAGE("https://mitra.stanford.edu/kundaje/oak/projects/neuro-variants/variant_position/credible/roussos_2024/variant_figures/roussos_2024.childhood.GLU/rs9537039_profile_position.png",4,220,900)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0.15439052</v>
      </c>
      <c r="G1013" t="n">
        <v>0.0170740698953959</v>
      </c>
      <c r="H1013" t="n">
        <v>0.0208205728869452</v>
      </c>
      <c r="I1013" t="n">
        <v>0.0941201094338833</v>
      </c>
      <c r="J1013" t="n">
        <v>0.2506186448535547</v>
      </c>
      <c r="K1013" t="n">
        <v>0.1187879031520167</v>
      </c>
      <c r="L1013" t="b">
        <v>1</v>
      </c>
      <c r="M1013" t="b">
        <v>0</v>
      </c>
      <c r="N1013" t="inlineStr">
        <is>
          <t>alt</t>
        </is>
      </c>
      <c r="O1013" t="n">
        <v>-100</v>
      </c>
      <c r="P1013" t="n">
        <v>0.003662</v>
      </c>
      <c r="Q1013" t="n">
        <v>-100</v>
      </c>
      <c r="R1013" t="n">
        <v>0.1592</v>
      </c>
      <c r="S1013">
        <f>IMAGE("https://mitra.stanford.edu/kundaje/oak/projects/neuro-variants/variant_position/credible/roussos_2024/variant_figures/roussos_2024.childhood.GLU/rs3098275_count_position.png",4,220,900)</f>
        <v/>
      </c>
      <c r="T1013">
        <f>IMAGE("https://mitra.stanford.edu/kundaje/oak/projects/neuro-variants/variant_position/credible/roussos_2024/variant_figures/roussos_2024.childhood.GLU/rs3098275_profile_position.png",4,220,900)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0.06976354479999999</v>
      </c>
      <c r="G1014" t="n">
        <v>0.0956861913509936</v>
      </c>
      <c r="H1014" t="n">
        <v>0.0119014867729793</v>
      </c>
      <c r="I1014" t="n">
        <v>0.4559892450794152</v>
      </c>
      <c r="J1014" t="n">
        <v>0.0008252032101537</v>
      </c>
      <c r="K1014" t="n">
        <v>0.8406334948912623</v>
      </c>
      <c r="L1014" t="b">
        <v>0</v>
      </c>
      <c r="M1014" t="b">
        <v>0</v>
      </c>
      <c r="N1014" t="inlineStr">
        <is>
          <t>alt</t>
        </is>
      </c>
      <c r="O1014" t="n">
        <v>35</v>
      </c>
      <c r="P1014" t="n">
        <v>0.001238</v>
      </c>
      <c r="Q1014" t="n">
        <v>100</v>
      </c>
      <c r="R1014" t="n">
        <v>0.165</v>
      </c>
      <c r="S1014">
        <f>IMAGE("https://mitra.stanford.edu/kundaje/oak/projects/neuro-variants/variant_position/credible/roussos_2024/variant_figures/roussos_2024.childhood.GLU/rs3098269_count_position.png",4,220,900)</f>
        <v/>
      </c>
      <c r="T1014">
        <f>IMAGE("https://mitra.stanford.edu/kundaje/oak/projects/neuro-variants/variant_position/credible/roussos_2024/variant_figures/roussos_2024.childhood.GLU/rs3098269_profile_position.png",4,220,900)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0.0238674868</v>
      </c>
      <c r="G1015" t="n">
        <v>0.3941191022516601</v>
      </c>
      <c r="H1015" t="n">
        <v>0.0333291260095339</v>
      </c>
      <c r="I1015" t="n">
        <v>0.014252690764551</v>
      </c>
      <c r="J1015" t="n">
        <v>0.009311094398714199</v>
      </c>
      <c r="K1015" t="n">
        <v>0.6071108836900797</v>
      </c>
      <c r="L1015" t="b">
        <v>0</v>
      </c>
      <c r="M1015" t="b">
        <v>0</v>
      </c>
      <c r="N1015" t="inlineStr">
        <is>
          <t>alt</t>
        </is>
      </c>
      <c r="O1015" t="n">
        <v>100</v>
      </c>
      <c r="P1015" t="n">
        <v>0.002037</v>
      </c>
      <c r="Q1015" t="n">
        <v>-95</v>
      </c>
      <c r="R1015" t="n">
        <v>0.0578</v>
      </c>
      <c r="S1015">
        <f>IMAGE("https://mitra.stanford.edu/kundaje/oak/projects/neuro-variants/variant_position/credible/roussos_2024/variant_figures/roussos_2024.childhood.GLU/rs3098265_count_position.png",4,220,900)</f>
        <v/>
      </c>
      <c r="T1015">
        <f>IMAGE("https://mitra.stanford.edu/kundaje/oak/projects/neuro-variants/variant_position/credible/roussos_2024/variant_figures/roussos_2024.childhood.GLU/rs3098265_profile_position.png",4,220,900)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0.0011020527199999</v>
      </c>
      <c r="G1016" t="n">
        <v>0.6184225912041452</v>
      </c>
      <c r="H1016" t="n">
        <v>0.0254419629960657</v>
      </c>
      <c r="I1016" t="n">
        <v>0.0406666559187714</v>
      </c>
      <c r="J1016" t="n">
        <v>0.007968722634880999</v>
      </c>
      <c r="K1016" t="n">
        <v>0.6163574928951784</v>
      </c>
      <c r="L1016" t="b">
        <v>0</v>
      </c>
      <c r="M1016" t="b">
        <v>0</v>
      </c>
      <c r="N1016" t="inlineStr">
        <is>
          <t>alt</t>
        </is>
      </c>
      <c r="O1016" t="n">
        <v>-95</v>
      </c>
      <c r="P1016" t="n">
        <v>0.002678</v>
      </c>
      <c r="Q1016" t="n">
        <v>20</v>
      </c>
      <c r="R1016" t="n">
        <v>0.0509</v>
      </c>
      <c r="S1016">
        <f>IMAGE("https://mitra.stanford.edu/kundaje/oak/projects/neuro-variants/variant_position/credible/roussos_2024/variant_figures/roussos_2024.childhood.GLU/rs3098271_count_position.png",4,220,900)</f>
        <v/>
      </c>
      <c r="T1016">
        <f>IMAGE("https://mitra.stanford.edu/kundaje/oak/projects/neuro-variants/variant_position/credible/roussos_2024/variant_figures/roussos_2024.childhood.GLU/rs3098271_profile_position.png",4,220,900)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0.0628259229</v>
      </c>
      <c r="G1017" t="n">
        <v>0.1296642961993175</v>
      </c>
      <c r="H1017" t="n">
        <v>0.017153177737054</v>
      </c>
      <c r="I1017" t="n">
        <v>0.1726240492083528</v>
      </c>
      <c r="J1017" t="n">
        <v>0.070383343463793</v>
      </c>
      <c r="K1017" t="n">
        <v>0.2975495172206315</v>
      </c>
      <c r="L1017" t="b">
        <v>0</v>
      </c>
      <c r="M1017" t="b">
        <v>0</v>
      </c>
      <c r="N1017" t="inlineStr">
        <is>
          <t>alt</t>
        </is>
      </c>
      <c r="O1017" t="n">
        <v>-100</v>
      </c>
      <c r="P1017" t="n">
        <v>0.03592</v>
      </c>
      <c r="Q1017" t="n">
        <v>-30</v>
      </c>
      <c r="R1017" t="n">
        <v>0.0955</v>
      </c>
      <c r="S1017">
        <f>IMAGE("https://mitra.stanford.edu/kundaje/oak/projects/neuro-variants/variant_position/credible/roussos_2024/variant_figures/roussos_2024.childhood.GLU/rs1657205_count_position.png",4,220,900)</f>
        <v/>
      </c>
      <c r="T1017">
        <f>IMAGE("https://mitra.stanford.edu/kundaje/oak/projects/neuro-variants/variant_position/credible/roussos_2024/variant_figures/roussos_2024.childhood.GLU/rs1657205_profile_position.png",4,220,900)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-0.0121642666799999</v>
      </c>
      <c r="G1018" t="n">
        <v>0.5724903571440061</v>
      </c>
      <c r="H1018" t="n">
        <v>0.0226573418200953</v>
      </c>
      <c r="I1018" t="n">
        <v>0.0639020364794911</v>
      </c>
      <c r="J1018" t="n">
        <v>0.0160270740828499</v>
      </c>
      <c r="K1018" t="n">
        <v>0.5331270780119065</v>
      </c>
      <c r="L1018" t="b">
        <v>0</v>
      </c>
      <c r="M1018" t="b">
        <v>0</v>
      </c>
      <c r="N1018" t="inlineStr">
        <is>
          <t>ref</t>
        </is>
      </c>
      <c r="O1018" t="n">
        <v>80</v>
      </c>
      <c r="P1018" t="n">
        <v>0.001366</v>
      </c>
      <c r="Q1018" t="n">
        <v>75</v>
      </c>
      <c r="R1018" t="n">
        <v>0.2128</v>
      </c>
      <c r="S1018">
        <f>IMAGE("https://mitra.stanford.edu/kundaje/oak/projects/neuro-variants/variant_position/credible/roussos_2024/variant_figures/roussos_2024.childhood.GLU/rs3124426_count_position.png",4,220,900)</f>
        <v/>
      </c>
      <c r="T1018">
        <f>IMAGE("https://mitra.stanford.edu/kundaje/oak/projects/neuro-variants/variant_position/credible/roussos_2024/variant_figures/roussos_2024.childhood.GLU/rs3124426_profile_position.png",4,220,900)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-0.00233109944</v>
      </c>
      <c r="G1019" t="n">
        <v>0.8860088681431529</v>
      </c>
      <c r="H1019" t="n">
        <v>0.020860242770392</v>
      </c>
      <c r="I1019" t="n">
        <v>0.0836183999517159</v>
      </c>
      <c r="J1019" t="n">
        <v>0.0024776700629461</v>
      </c>
      <c r="K1019" t="n">
        <v>0.7527653750985909</v>
      </c>
      <c r="L1019" t="b">
        <v>0</v>
      </c>
      <c r="M1019" t="b">
        <v>0</v>
      </c>
      <c r="N1019" t="inlineStr">
        <is>
          <t>ref</t>
        </is>
      </c>
      <c r="O1019" t="n">
        <v>100</v>
      </c>
      <c r="P1019" t="n">
        <v>0.007362</v>
      </c>
      <c r="Q1019" t="n">
        <v>-100</v>
      </c>
      <c r="R1019" t="n">
        <v>0.1567</v>
      </c>
      <c r="S1019">
        <f>IMAGE("https://mitra.stanford.edu/kundaje/oak/projects/neuro-variants/variant_position/credible/roussos_2024/variant_figures/roussos_2024.childhood.GLU/rs9537096_count_position.png",4,220,900)</f>
        <v/>
      </c>
      <c r="T1019">
        <f>IMAGE("https://mitra.stanford.edu/kundaje/oak/projects/neuro-variants/variant_position/credible/roussos_2024/variant_figures/roussos_2024.childhood.GLU/rs9537096_profile_position.png",4,220,900)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-0.0449737424</v>
      </c>
      <c r="G1020" t="n">
        <v>0.2066521146996192</v>
      </c>
      <c r="H1020" t="n">
        <v>0.0117868984748153</v>
      </c>
      <c r="I1020" t="n">
        <v>0.4719036631319919</v>
      </c>
      <c r="J1020" t="n">
        <v>0.1257749801683372</v>
      </c>
      <c r="K1020" t="n">
        <v>0.2189155509654882</v>
      </c>
      <c r="L1020" t="b">
        <v>0</v>
      </c>
      <c r="M1020" t="b">
        <v>0</v>
      </c>
      <c r="N1020" t="inlineStr">
        <is>
          <t>ref</t>
        </is>
      </c>
      <c r="O1020" t="n">
        <v>-80</v>
      </c>
      <c r="P1020" t="n">
        <v>0.0359</v>
      </c>
      <c r="Q1020" t="n">
        <v>-85</v>
      </c>
      <c r="R1020" t="n">
        <v>0.1348</v>
      </c>
      <c r="S1020">
        <f>IMAGE("https://mitra.stanford.edu/kundaje/oak/projects/neuro-variants/variant_position/credible/roussos_2024/variant_figures/roussos_2024.childhood.GLU/rs4885824_count_position.png",4,220,900)</f>
        <v/>
      </c>
      <c r="T1020">
        <f>IMAGE("https://mitra.stanford.edu/kundaje/oak/projects/neuro-variants/variant_position/credible/roussos_2024/variant_figures/roussos_2024.childhood.GLU/rs4885824_profile_position.png",4,220,900)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0.138442342</v>
      </c>
      <c r="G1021" t="n">
        <v>0.0199737559794815</v>
      </c>
      <c r="H1021" t="n">
        <v>0.0234307485284276</v>
      </c>
      <c r="I1021" t="n">
        <v>0.0566191161282543</v>
      </c>
      <c r="J1021" t="n">
        <v>0.0030690141860775</v>
      </c>
      <c r="K1021" t="n">
        <v>0.7572191930986284</v>
      </c>
      <c r="L1021" t="b">
        <v>0</v>
      </c>
      <c r="M1021" t="b">
        <v>0</v>
      </c>
      <c r="N1021" t="inlineStr">
        <is>
          <t>alt</t>
        </is>
      </c>
      <c r="O1021" t="n">
        <v>30</v>
      </c>
      <c r="P1021" t="n">
        <v>0.002922</v>
      </c>
      <c r="Q1021" t="n">
        <v>30</v>
      </c>
      <c r="R1021" t="n">
        <v>0.0503</v>
      </c>
      <c r="S1021">
        <f>IMAGE("https://mitra.stanford.edu/kundaje/oak/projects/neuro-variants/variant_position/credible/roussos_2024/variant_figures/roussos_2024.childhood.GLU/rs3124395_count_position.png",4,220,900)</f>
        <v/>
      </c>
      <c r="T1021">
        <f>IMAGE("https://mitra.stanford.edu/kundaje/oak/projects/neuro-variants/variant_position/credible/roussos_2024/variant_figures/roussos_2024.childhood.GLU/rs3124395_profile_position.png",4,220,900)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-0.00268081548</v>
      </c>
      <c r="G1022" t="n">
        <v>0.7691282376351672</v>
      </c>
      <c r="H1022" t="n">
        <v>0.0237051088254136</v>
      </c>
      <c r="I1022" t="n">
        <v>0.0534235563537343</v>
      </c>
      <c r="J1022" t="n">
        <v>0.000590313906889</v>
      </c>
      <c r="K1022" t="n">
        <v>0.8604171125109835</v>
      </c>
      <c r="L1022" t="b">
        <v>0</v>
      </c>
      <c r="M1022" t="b">
        <v>0</v>
      </c>
      <c r="N1022" t="inlineStr">
        <is>
          <t>ref</t>
        </is>
      </c>
      <c r="O1022" t="n">
        <v>75</v>
      </c>
      <c r="P1022" t="n">
        <v>0.01086</v>
      </c>
      <c r="Q1022" t="n">
        <v>-25</v>
      </c>
      <c r="R1022" t="n">
        <v>0.01692</v>
      </c>
      <c r="S1022">
        <f>IMAGE("https://mitra.stanford.edu/kundaje/oak/projects/neuro-variants/variant_position/credible/roussos_2024/variant_figures/roussos_2024.childhood.GLU/rs3105072_count_position.png",4,220,900)</f>
        <v/>
      </c>
      <c r="T1022">
        <f>IMAGE("https://mitra.stanford.edu/kundaje/oak/projects/neuro-variants/variant_position/credible/roussos_2024/variant_figures/roussos_2024.childhood.GLU/rs3105072_profile_position.png",4,220,900)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0.062989848</v>
      </c>
      <c r="G1023" t="n">
        <v>0.1270261800071993</v>
      </c>
      <c r="H1023" t="n">
        <v>0.0379756258247597</v>
      </c>
      <c r="I1023" t="n">
        <v>0.0082379227313552</v>
      </c>
      <c r="J1023" t="n">
        <v>0.0003080346564743</v>
      </c>
      <c r="K1023" t="n">
        <v>0.893027251508769</v>
      </c>
      <c r="L1023" t="b">
        <v>0</v>
      </c>
      <c r="M1023" t="b">
        <v>0</v>
      </c>
      <c r="N1023" t="inlineStr">
        <is>
          <t>alt</t>
        </is>
      </c>
      <c r="O1023" t="n">
        <v>30</v>
      </c>
      <c r="P1023" t="n">
        <v>0.003937</v>
      </c>
      <c r="Q1023" t="n">
        <v>-80</v>
      </c>
      <c r="R1023" t="n">
        <v>0.01663</v>
      </c>
      <c r="S1023">
        <f>IMAGE("https://mitra.stanford.edu/kundaje/oak/projects/neuro-variants/variant_position/credible/roussos_2024/variant_figures/roussos_2024.childhood.GLU/rs4242982_count_position.png",4,220,900)</f>
        <v/>
      </c>
      <c r="T1023">
        <f>IMAGE("https://mitra.stanford.edu/kundaje/oak/projects/neuro-variants/variant_position/credible/roussos_2024/variant_figures/roussos_2024.childhood.GLU/rs4242982_profile_position.png",4,220,900)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0.0031635493</v>
      </c>
      <c r="G1024" t="n">
        <v>0.8324450484236596</v>
      </c>
      <c r="H1024" t="n">
        <v>0.0171420940101244</v>
      </c>
      <c r="I1024" t="n">
        <v>0.166569678628462</v>
      </c>
      <c r="J1024" t="n">
        <v>0.0094419318614976</v>
      </c>
      <c r="K1024" t="n">
        <v>0.595869091861375</v>
      </c>
      <c r="L1024" t="b">
        <v>0</v>
      </c>
      <c r="M1024" t="b">
        <v>0</v>
      </c>
      <c r="N1024" t="inlineStr">
        <is>
          <t>alt</t>
        </is>
      </c>
      <c r="O1024" t="n">
        <v>95</v>
      </c>
      <c r="P1024" t="n">
        <v>0.004124</v>
      </c>
      <c r="Q1024" t="n">
        <v>-100</v>
      </c>
      <c r="R1024" t="n">
        <v>0.162</v>
      </c>
      <c r="S1024">
        <f>IMAGE("https://mitra.stanford.edu/kundaje/oak/projects/neuro-variants/variant_position/credible/roussos_2024/variant_figures/roussos_2024.childhood.GLU/rs3105090_count_position.png",4,220,900)</f>
        <v/>
      </c>
      <c r="T1024">
        <f>IMAGE("https://mitra.stanford.edu/kundaje/oak/projects/neuro-variants/variant_position/credible/roussos_2024/variant_figures/roussos_2024.childhood.GLU/rs3105090_profile_position.png",4,220,900)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0.085077654</v>
      </c>
      <c r="G1025" t="n">
        <v>0.0690209492142457</v>
      </c>
      <c r="H1025" t="n">
        <v>0.0163312415969712</v>
      </c>
      <c r="I1025" t="n">
        <v>0.1866549969036266</v>
      </c>
      <c r="J1025" t="n">
        <v>0.0010065212688142</v>
      </c>
      <c r="K1025" t="n">
        <v>0.8346937235502072</v>
      </c>
      <c r="L1025" t="b">
        <v>0</v>
      </c>
      <c r="M1025" t="b">
        <v>0</v>
      </c>
      <c r="N1025" t="inlineStr">
        <is>
          <t>alt</t>
        </is>
      </c>
      <c r="O1025" t="n">
        <v>-45</v>
      </c>
      <c r="P1025" t="n">
        <v>0.00161</v>
      </c>
      <c r="Q1025" t="n">
        <v>60</v>
      </c>
      <c r="R1025" t="n">
        <v>0.0365</v>
      </c>
      <c r="S1025">
        <f>IMAGE("https://mitra.stanford.edu/kundaje/oak/projects/neuro-variants/variant_position/credible/roussos_2024/variant_figures/roussos_2024.childhood.GLU/rs73191591_count_position.png",4,220,900)</f>
        <v/>
      </c>
      <c r="T1025">
        <f>IMAGE("https://mitra.stanford.edu/kundaje/oak/projects/neuro-variants/variant_position/credible/roussos_2024/variant_figures/roussos_2024.childhood.GLU/rs73191591_profile_position.png",4,220,900)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0.0549649208</v>
      </c>
      <c r="G1026" t="n">
        <v>0.1504236799959484</v>
      </c>
      <c r="H1026" t="n">
        <v>0.0121645951185641</v>
      </c>
      <c r="I1026" t="n">
        <v>0.4392638540763688</v>
      </c>
      <c r="J1026" t="n">
        <v>0.0270565691738695</v>
      </c>
      <c r="K1026" t="n">
        <v>0.4580022366263232</v>
      </c>
      <c r="L1026" t="b">
        <v>0</v>
      </c>
      <c r="M1026" t="b">
        <v>0</v>
      </c>
      <c r="N1026" t="inlineStr">
        <is>
          <t>alt</t>
        </is>
      </c>
      <c r="O1026" t="n">
        <v>80</v>
      </c>
      <c r="P1026" t="n">
        <v>0.00499</v>
      </c>
      <c r="Q1026" t="n">
        <v>-50</v>
      </c>
      <c r="R1026" t="n">
        <v>0.04565</v>
      </c>
      <c r="S1026">
        <f>IMAGE("https://mitra.stanford.edu/kundaje/oak/projects/neuro-variants/variant_position/credible/roussos_2024/variant_figures/roussos_2024.childhood.GLU/rs73193533_count_position.png",4,220,900)</f>
        <v/>
      </c>
      <c r="T1026">
        <f>IMAGE("https://mitra.stanford.edu/kundaje/oak/projects/neuro-variants/variant_position/credible/roussos_2024/variant_figures/roussos_2024.childhood.GLU/rs73193533_profile_position.png",4,220,900)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-0.005698762477</v>
      </c>
      <c r="G1027" t="n">
        <v>0.5567459838511971</v>
      </c>
      <c r="H1027" t="n">
        <v>0.0202966857756529</v>
      </c>
      <c r="I1027" t="n">
        <v>0.1097640053543452</v>
      </c>
      <c r="J1027" t="n">
        <v>0.009465626835072599</v>
      </c>
      <c r="K1027" t="n">
        <v>0.6089642992056432</v>
      </c>
      <c r="L1027" t="b">
        <v>0</v>
      </c>
      <c r="M1027" t="b">
        <v>0</v>
      </c>
      <c r="N1027" t="inlineStr">
        <is>
          <t>ref</t>
        </is>
      </c>
      <c r="O1027" t="n">
        <v>-45</v>
      </c>
      <c r="P1027" t="n">
        <v>0.000779</v>
      </c>
      <c r="Q1027" t="n">
        <v>100</v>
      </c>
      <c r="R1027" t="n">
        <v>0.08160000000000001</v>
      </c>
      <c r="S1027">
        <f>IMAGE("https://mitra.stanford.edu/kundaje/oak/projects/neuro-variants/variant_position/credible/roussos_2024/variant_figures/roussos_2024.childhood.GLU/rs112311254_count_position.png",4,220,900)</f>
        <v/>
      </c>
      <c r="T1027">
        <f>IMAGE("https://mitra.stanford.edu/kundaje/oak/projects/neuro-variants/variant_position/credible/roussos_2024/variant_figures/roussos_2024.childhood.GLU/rs112311254_profile_position.png",4,220,900)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-0.0337111834</v>
      </c>
      <c r="G1028" t="n">
        <v>0.3073511540470764</v>
      </c>
      <c r="H1028" t="n">
        <v>0.013268767403244</v>
      </c>
      <c r="I1028" t="n">
        <v>0.3501733716367313</v>
      </c>
      <c r="J1028" t="n">
        <v>0.0096644585698537</v>
      </c>
      <c r="K1028" t="n">
        <v>0.6145603588564656</v>
      </c>
      <c r="L1028" t="b">
        <v>0</v>
      </c>
      <c r="M1028" t="b">
        <v>0</v>
      </c>
      <c r="N1028" t="inlineStr">
        <is>
          <t>ref</t>
        </is>
      </c>
      <c r="O1028" t="n">
        <v>-45</v>
      </c>
      <c r="P1028" t="n">
        <v>0.00244</v>
      </c>
      <c r="Q1028" t="n">
        <v>-100</v>
      </c>
      <c r="R1028" t="n">
        <v>0.09845</v>
      </c>
      <c r="S1028">
        <f>IMAGE("https://mitra.stanford.edu/kundaje/oak/projects/neuro-variants/variant_position/credible/roussos_2024/variant_figures/roussos_2024.childhood.GLU/rs611686_count_position.png",4,220,900)</f>
        <v/>
      </c>
      <c r="T1028">
        <f>IMAGE("https://mitra.stanford.edu/kundaje/oak/projects/neuro-variants/variant_position/credible/roussos_2024/variant_figures/roussos_2024.childhood.GLU/rs611686_profile_position.png",4,220,900)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0.00812550924</v>
      </c>
      <c r="G1029" t="n">
        <v>0.6924655011582451</v>
      </c>
      <c r="H1029" t="n">
        <v>0.0298376852237281</v>
      </c>
      <c r="I1029" t="n">
        <v>0.0217032727338776</v>
      </c>
      <c r="J1029" t="n">
        <v>5.15108121194505e-05</v>
      </c>
      <c r="K1029" t="n">
        <v>0.9642539568413701</v>
      </c>
      <c r="L1029" t="b">
        <v>0</v>
      </c>
      <c r="M1029" t="b">
        <v>0</v>
      </c>
      <c r="N1029" t="inlineStr">
        <is>
          <t>alt</t>
        </is>
      </c>
      <c r="O1029" t="n">
        <v>85</v>
      </c>
      <c r="P1029" t="n">
        <v>0.00759</v>
      </c>
      <c r="Q1029" t="n">
        <v>85</v>
      </c>
      <c r="R1029" t="n">
        <v>0.10114</v>
      </c>
      <c r="S1029">
        <f>IMAGE("https://mitra.stanford.edu/kundaje/oak/projects/neuro-variants/variant_position/credible/roussos_2024/variant_figures/roussos_2024.childhood.GLU/rs73193578_count_position.png",4,220,900)</f>
        <v/>
      </c>
      <c r="T1029">
        <f>IMAGE("https://mitra.stanford.edu/kundaje/oak/projects/neuro-variants/variant_position/credible/roussos_2024/variant_figures/roussos_2024.childhood.GLU/rs73193578_profile_position.png",4,220,900)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0.207697492</v>
      </c>
      <c r="G1030" t="n">
        <v>0.0075821907402609</v>
      </c>
      <c r="H1030" t="n">
        <v>0.0372414253820238</v>
      </c>
      <c r="I1030" t="n">
        <v>0.01043653033043</v>
      </c>
      <c r="J1030" t="n">
        <v>0.1965642288316317</v>
      </c>
      <c r="K1030" t="n">
        <v>0.1505295305599759</v>
      </c>
      <c r="L1030" t="b">
        <v>1</v>
      </c>
      <c r="M1030" t="b">
        <v>1</v>
      </c>
      <c r="N1030" t="inlineStr">
        <is>
          <t>alt</t>
        </is>
      </c>
      <c r="O1030" t="n">
        <v>-90</v>
      </c>
      <c r="P1030" t="n">
        <v>0.004494</v>
      </c>
      <c r="Q1030" t="n">
        <v>-100</v>
      </c>
      <c r="R1030" t="n">
        <v>0.02814</v>
      </c>
      <c r="S1030">
        <f>IMAGE("https://mitra.stanford.edu/kundaje/oak/projects/neuro-variants/variant_position/credible/roussos_2024/variant_figures/roussos_2024.childhood.GLU/rs517462_count_position.png",4,220,900)</f>
        <v/>
      </c>
      <c r="T1030">
        <f>IMAGE("https://mitra.stanford.edu/kundaje/oak/projects/neuro-variants/variant_position/credible/roussos_2024/variant_figures/roussos_2024.childhood.GLU/rs517462_profile_position.png",4,220,900)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0.00730866337</v>
      </c>
      <c r="G1031" t="n">
        <v>0.7058748318956694</v>
      </c>
      <c r="H1031" t="n">
        <v>0.0220772865263146</v>
      </c>
      <c r="I1031" t="n">
        <v>0.07048575315701471</v>
      </c>
      <c r="J1031" t="n">
        <v>8.756838060307194e-05</v>
      </c>
      <c r="K1031" t="n">
        <v>0.949397005371248</v>
      </c>
      <c r="L1031" t="b">
        <v>0</v>
      </c>
      <c r="M1031" t="b">
        <v>0</v>
      </c>
      <c r="N1031" t="inlineStr">
        <is>
          <t>alt</t>
        </is>
      </c>
      <c r="O1031" t="n">
        <v>-75</v>
      </c>
      <c r="P1031" t="n">
        <v>0.01465</v>
      </c>
      <c r="Q1031" t="n">
        <v>85</v>
      </c>
      <c r="R1031" t="n">
        <v>0.0774</v>
      </c>
      <c r="S1031">
        <f>IMAGE("https://mitra.stanford.edu/kundaje/oak/projects/neuro-variants/variant_position/credible/roussos_2024/variant_figures/roussos_2024.childhood.GLU/rs3121501_count_position.png",4,220,900)</f>
        <v/>
      </c>
      <c r="T1031">
        <f>IMAGE("https://mitra.stanford.edu/kundaje/oak/projects/neuro-variants/variant_position/credible/roussos_2024/variant_figures/roussos_2024.childhood.GLU/rs3121501_profile_position.png",4,220,900)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0.01724917262</v>
      </c>
      <c r="G1032" t="n">
        <v>0.5254655380798451</v>
      </c>
      <c r="H1032" t="n">
        <v>0.0227049867616905</v>
      </c>
      <c r="I1032" t="n">
        <v>0.0611909675063663</v>
      </c>
      <c r="J1032" t="n">
        <v>0.0031555523504383</v>
      </c>
      <c r="K1032" t="n">
        <v>0.7329171257129745</v>
      </c>
      <c r="L1032" t="b">
        <v>0</v>
      </c>
      <c r="M1032" t="b">
        <v>0</v>
      </c>
      <c r="N1032" t="inlineStr">
        <is>
          <t>alt</t>
        </is>
      </c>
      <c r="O1032" t="n">
        <v>-100</v>
      </c>
      <c r="P1032" t="n">
        <v>0.009549999999999999</v>
      </c>
      <c r="Q1032" t="n">
        <v>-75</v>
      </c>
      <c r="R1032" t="n">
        <v>0.1267</v>
      </c>
      <c r="S1032">
        <f>IMAGE("https://mitra.stanford.edu/kundaje/oak/projects/neuro-variants/variant_position/credible/roussos_2024/variant_figures/roussos_2024.childhood.GLU/rs2137410_count_position.png",4,220,900)</f>
        <v/>
      </c>
      <c r="T1032">
        <f>IMAGE("https://mitra.stanford.edu/kundaje/oak/projects/neuro-variants/variant_position/credible/roussos_2024/variant_figures/roussos_2024.childhood.GLU/rs2137410_profile_position.png",4,220,900)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-0.0330669184</v>
      </c>
      <c r="G1033" t="n">
        <v>0.3160473387949832</v>
      </c>
      <c r="H1033" t="n">
        <v>0.0358236522511902</v>
      </c>
      <c r="I1033" t="n">
        <v>0.0102645315778461</v>
      </c>
      <c r="J1033" t="n">
        <v>0.2308034656474393</v>
      </c>
      <c r="K1033" t="n">
        <v>0.1319618832777734</v>
      </c>
      <c r="L1033" t="b">
        <v>1</v>
      </c>
      <c r="M1033" t="b">
        <v>0</v>
      </c>
      <c r="N1033" t="inlineStr">
        <is>
          <t>ref</t>
        </is>
      </c>
      <c r="O1033" t="n">
        <v>90</v>
      </c>
      <c r="P1033" t="n">
        <v>0.01486</v>
      </c>
      <c r="Q1033" t="n">
        <v>-5</v>
      </c>
      <c r="R1033" t="n">
        <v>0.01367</v>
      </c>
      <c r="S1033">
        <f>IMAGE("https://mitra.stanford.edu/kundaje/oak/projects/neuro-variants/variant_position/credible/roussos_2024/variant_figures/roussos_2024.childhood.GLU/rs9569448_count_position.png",4,220,900)</f>
        <v/>
      </c>
      <c r="T1033">
        <f>IMAGE("https://mitra.stanford.edu/kundaje/oak/projects/neuro-variants/variant_position/credible/roussos_2024/variant_figures/roussos_2024.childhood.GLU/rs9569448_profile_position.png",4,220,900)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-0.0968983182</v>
      </c>
      <c r="G1034" t="n">
        <v>0.0594011172072341</v>
      </c>
      <c r="H1034" t="n">
        <v>0.017771912566201</v>
      </c>
      <c r="I1034" t="n">
        <v>0.1591887533452006</v>
      </c>
      <c r="J1034" t="n">
        <v>0.0461207207392831</v>
      </c>
      <c r="K1034" t="n">
        <v>0.3709384097341081</v>
      </c>
      <c r="L1034" t="b">
        <v>0</v>
      </c>
      <c r="M1034" t="b">
        <v>0</v>
      </c>
      <c r="N1034" t="inlineStr">
        <is>
          <t>ref</t>
        </is>
      </c>
      <c r="O1034" t="n">
        <v>60</v>
      </c>
      <c r="P1034" t="n">
        <v>0.004818</v>
      </c>
      <c r="Q1034" t="n">
        <v>-30</v>
      </c>
      <c r="R1034" t="n">
        <v>0.01074</v>
      </c>
      <c r="S1034">
        <f>IMAGE("https://mitra.stanford.edu/kundaje/oak/projects/neuro-variants/variant_position/credible/roussos_2024/variant_figures/roussos_2024.childhood.GLU/rs9597389_count_position.png",4,220,900)</f>
        <v/>
      </c>
      <c r="T1034">
        <f>IMAGE("https://mitra.stanford.edu/kundaje/oak/projects/neuro-variants/variant_position/credible/roussos_2024/variant_figures/roussos_2024.childhood.GLU/rs9597389_profile_position.png",4,220,900)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0.490675212</v>
      </c>
      <c r="G1035" t="n">
        <v>0.0002833813931726</v>
      </c>
      <c r="H1035" t="n">
        <v>0.0825280171096279</v>
      </c>
      <c r="I1035" t="n">
        <v>0.0004588646877418</v>
      </c>
      <c r="J1035" t="n">
        <v>0.0020686742147176</v>
      </c>
      <c r="K1035" t="n">
        <v>0.7817614545833865</v>
      </c>
      <c r="L1035" t="b">
        <v>1</v>
      </c>
      <c r="M1035" t="b">
        <v>1</v>
      </c>
      <c r="N1035" t="inlineStr">
        <is>
          <t>alt</t>
        </is>
      </c>
      <c r="O1035" t="n">
        <v>-50</v>
      </c>
      <c r="P1035" t="n">
        <v>0.003479</v>
      </c>
      <c r="Q1035" t="n">
        <v>-55</v>
      </c>
      <c r="R1035" t="n">
        <v>0.03296</v>
      </c>
      <c r="S1035">
        <f>IMAGE("https://mitra.stanford.edu/kundaje/oak/projects/neuro-variants/variant_position/credible/roussos_2024/variant_figures/roussos_2024.childhood.GLU/rs2784002_count_position.png",4,220,900)</f>
        <v/>
      </c>
      <c r="T1035">
        <f>IMAGE("https://mitra.stanford.edu/kundaje/oak/projects/neuro-variants/variant_position/credible/roussos_2024/variant_figures/roussos_2024.childhood.GLU/rs2784002_profile_position.png",4,220,900)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0.0581052331999999</v>
      </c>
      <c r="G1036" t="n">
        <v>0.1379529456505863</v>
      </c>
      <c r="H1036" t="n">
        <v>0.0167764312650835</v>
      </c>
      <c r="I1036" t="n">
        <v>0.1831358134958972</v>
      </c>
      <c r="J1036" t="n">
        <v>0.0122049718235857</v>
      </c>
      <c r="K1036" t="n">
        <v>0.5656715697296859</v>
      </c>
      <c r="L1036" t="b">
        <v>0</v>
      </c>
      <c r="M1036" t="b">
        <v>0</v>
      </c>
      <c r="N1036" t="inlineStr">
        <is>
          <t>alt</t>
        </is>
      </c>
      <c r="O1036" t="n">
        <v>-70</v>
      </c>
      <c r="P1036" t="n">
        <v>0.006058</v>
      </c>
      <c r="Q1036" t="n">
        <v>-70</v>
      </c>
      <c r="R1036" t="n">
        <v>0.1534</v>
      </c>
      <c r="S1036">
        <f>IMAGE("https://mitra.stanford.edu/kundaje/oak/projects/neuro-variants/variant_position/credible/roussos_2024/variant_figures/roussos_2024.childhood.GLU/rs9591754_count_position.png",4,220,900)</f>
        <v/>
      </c>
      <c r="T1036">
        <f>IMAGE("https://mitra.stanford.edu/kundaje/oak/projects/neuro-variants/variant_position/credible/roussos_2024/variant_figures/roussos_2024.childhood.GLU/rs9591754_profile_position.png",4,220,900)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0.0061434236</v>
      </c>
      <c r="G1037" t="n">
        <v>0.3882555380117931</v>
      </c>
      <c r="H1037" t="n">
        <v>0.0099881651126439</v>
      </c>
      <c r="I1037" t="n">
        <v>0.6383720507601478</v>
      </c>
      <c r="J1037" t="n">
        <v>0.043529726889674</v>
      </c>
      <c r="K1037" t="n">
        <v>0.3756774207104992</v>
      </c>
      <c r="L1037" t="b">
        <v>0</v>
      </c>
      <c r="M1037" t="b">
        <v>0</v>
      </c>
      <c r="N1037" t="inlineStr">
        <is>
          <t>alt</t>
        </is>
      </c>
      <c r="O1037" t="n">
        <v>-45</v>
      </c>
      <c r="P1037" t="n">
        <v>0.003021</v>
      </c>
      <c r="Q1037" t="n">
        <v>100</v>
      </c>
      <c r="R1037" t="n">
        <v>0.03925</v>
      </c>
      <c r="S1037">
        <f>IMAGE("https://mitra.stanford.edu/kundaje/oak/projects/neuro-variants/variant_position/credible/roussos_2024/variant_figures/roussos_2024.childhood.GLU/rs9316851_count_position.png",4,220,900)</f>
        <v/>
      </c>
      <c r="T1037">
        <f>IMAGE("https://mitra.stanford.edu/kundaje/oak/projects/neuro-variants/variant_position/credible/roussos_2024/variant_figures/roussos_2024.childhood.GLU/rs9316851_profile_position.png",4,220,900)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-0.0008052580599999</v>
      </c>
      <c r="G1038" t="n">
        <v>0.6934029201467721</v>
      </c>
      <c r="H1038" t="n">
        <v>0.008243923989420501</v>
      </c>
      <c r="I1038" t="n">
        <v>0.8319184412124051</v>
      </c>
      <c r="J1038" t="n">
        <v>0.0005274707161032</v>
      </c>
      <c r="K1038" t="n">
        <v>0.8840787271730646</v>
      </c>
      <c r="L1038" t="b">
        <v>0</v>
      </c>
      <c r="M1038" t="b">
        <v>0</v>
      </c>
      <c r="N1038" t="inlineStr">
        <is>
          <t>ref</t>
        </is>
      </c>
      <c r="O1038" t="n">
        <v>10</v>
      </c>
      <c r="P1038" t="n">
        <v>0.0008125</v>
      </c>
      <c r="Q1038" t="n">
        <v>95</v>
      </c>
      <c r="R1038" t="n">
        <v>0.10474</v>
      </c>
      <c r="S1038">
        <f>IMAGE("https://mitra.stanford.edu/kundaje/oak/projects/neuro-variants/variant_position/credible/roussos_2024/variant_figures/roussos_2024.childhood.GLU/rs59918226_count_position.png",4,220,900)</f>
        <v/>
      </c>
      <c r="T1038">
        <f>IMAGE("https://mitra.stanford.edu/kundaje/oak/projects/neuro-variants/variant_position/credible/roussos_2024/variant_figures/roussos_2024.childhood.GLU/rs59918226_profile_position.png",4,220,900)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-0.01006676582</v>
      </c>
      <c r="G1039" t="n">
        <v>0.6804024800743083</v>
      </c>
      <c r="H1039" t="n">
        <v>0.0105077717519065</v>
      </c>
      <c r="I1039" t="n">
        <v>0.601854386445365</v>
      </c>
      <c r="J1039" t="n">
        <v>0.0020068612401742</v>
      </c>
      <c r="K1039" t="n">
        <v>0.7699806321422349</v>
      </c>
      <c r="L1039" t="b">
        <v>0</v>
      </c>
      <c r="M1039" t="b">
        <v>0</v>
      </c>
      <c r="N1039" t="inlineStr">
        <is>
          <t>ref</t>
        </is>
      </c>
      <c r="O1039" t="n">
        <v>90</v>
      </c>
      <c r="P1039" t="n">
        <v>0.002676</v>
      </c>
      <c r="Q1039" t="n">
        <v>-90</v>
      </c>
      <c r="R1039" t="n">
        <v>0.1262</v>
      </c>
      <c r="S1039">
        <f>IMAGE("https://mitra.stanford.edu/kundaje/oak/projects/neuro-variants/variant_position/credible/roussos_2024/variant_figures/roussos_2024.childhood.GLU/rs9316853_count_position.png",4,220,900)</f>
        <v/>
      </c>
      <c r="T1039">
        <f>IMAGE("https://mitra.stanford.edu/kundaje/oak/projects/neuro-variants/variant_position/credible/roussos_2024/variant_figures/roussos_2024.childhood.GLU/rs9316853_profile_position.png",4,220,900)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0.183964512</v>
      </c>
      <c r="G1040" t="n">
        <v>0.010034655761655</v>
      </c>
      <c r="H1040" t="n">
        <v>0.0284621733900969</v>
      </c>
      <c r="I1040" t="n">
        <v>0.0299068552369891</v>
      </c>
      <c r="J1040" t="n">
        <v>0.0140222732751604</v>
      </c>
      <c r="K1040" t="n">
        <v>0.5459602572612406</v>
      </c>
      <c r="L1040" t="b">
        <v>1</v>
      </c>
      <c r="M1040" t="b">
        <v>0</v>
      </c>
      <c r="N1040" t="inlineStr">
        <is>
          <t>alt</t>
        </is>
      </c>
      <c r="O1040" t="n">
        <v>-80</v>
      </c>
      <c r="P1040" t="n">
        <v>0.002823</v>
      </c>
      <c r="Q1040" t="n">
        <v>-55</v>
      </c>
      <c r="R1040" t="n">
        <v>0.0249</v>
      </c>
      <c r="S1040">
        <f>IMAGE("https://mitra.stanford.edu/kundaje/oak/projects/neuro-variants/variant_position/credible/roussos_2024/variant_figures/roussos_2024.childhood.GLU/rs12872193_count_position.png",4,220,900)</f>
        <v/>
      </c>
      <c r="T1040">
        <f>IMAGE("https://mitra.stanford.edu/kundaje/oak/projects/neuro-variants/variant_position/credible/roussos_2024/variant_figures/roussos_2024.childhood.GLU/rs12872193_profile_position.png",4,220,900)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-0.0480082282</v>
      </c>
      <c r="G1041" t="n">
        <v>0.1520774381399962</v>
      </c>
      <c r="H1041" t="n">
        <v>0.0232745663703462</v>
      </c>
      <c r="I1041" t="n">
        <v>0.0591675586762171</v>
      </c>
      <c r="J1041" t="n">
        <v>0.0526883492845147</v>
      </c>
      <c r="K1041" t="n">
        <v>0.3441538652204276</v>
      </c>
      <c r="L1041" t="b">
        <v>0</v>
      </c>
      <c r="M1041" t="b">
        <v>0</v>
      </c>
      <c r="N1041" t="inlineStr">
        <is>
          <t>ref</t>
        </is>
      </c>
      <c r="O1041" t="n">
        <v>35</v>
      </c>
      <c r="P1041" t="n">
        <v>0.005287</v>
      </c>
      <c r="Q1041" t="n">
        <v>-75</v>
      </c>
      <c r="R1041" t="n">
        <v>0.1724</v>
      </c>
      <c r="S1041">
        <f>IMAGE("https://mitra.stanford.edu/kundaje/oak/projects/neuro-variants/variant_position/credible/roussos_2024/variant_figures/roussos_2024.childhood.GLU/rs9597405_count_position.png",4,220,900)</f>
        <v/>
      </c>
      <c r="T1041">
        <f>IMAGE("https://mitra.stanford.edu/kundaje/oak/projects/neuro-variants/variant_position/credible/roussos_2024/variant_figures/roussos_2024.childhood.GLU/rs9597405_profile_position.png",4,220,900)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-0.155248108</v>
      </c>
      <c r="G1042" t="n">
        <v>0.0165928180476913</v>
      </c>
      <c r="H1042" t="n">
        <v>0.0378791794995843</v>
      </c>
      <c r="I1042" t="n">
        <v>0.0086341143613678</v>
      </c>
      <c r="J1042" t="n">
        <v>0.0339394438892723</v>
      </c>
      <c r="K1042" t="n">
        <v>0.4072192833046405</v>
      </c>
      <c r="L1042" t="b">
        <v>1</v>
      </c>
      <c r="M1042" t="b">
        <v>0</v>
      </c>
      <c r="N1042" t="inlineStr">
        <is>
          <t>ref</t>
        </is>
      </c>
      <c r="O1042" t="n">
        <v>-95</v>
      </c>
      <c r="P1042" t="n">
        <v>0.005226</v>
      </c>
      <c r="Q1042" t="n">
        <v>-45</v>
      </c>
      <c r="R1042" t="n">
        <v>0.1313</v>
      </c>
      <c r="S1042">
        <f>IMAGE("https://mitra.stanford.edu/kundaje/oak/projects/neuro-variants/variant_position/credible/roussos_2024/variant_figures/roussos_2024.childhood.GLU/rs4885970_count_position.png",4,220,900)</f>
        <v/>
      </c>
      <c r="T1042">
        <f>IMAGE("https://mitra.stanford.edu/kundaje/oak/projects/neuro-variants/variant_position/credible/roussos_2024/variant_figures/roussos_2024.childhood.GLU/rs4885970_profile_position.png",4,220,900)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0.0117081686199999</v>
      </c>
      <c r="G1043" t="n">
        <v>0.5684348343229895</v>
      </c>
      <c r="H1043" t="n">
        <v>0.0299051550995072</v>
      </c>
      <c r="I1043" t="n">
        <v>0.0214756913487818</v>
      </c>
      <c r="J1043" t="n">
        <v>0.0001473209226616</v>
      </c>
      <c r="K1043" t="n">
        <v>0.9333570772928368</v>
      </c>
      <c r="L1043" t="b">
        <v>0</v>
      </c>
      <c r="M1043" t="b">
        <v>0</v>
      </c>
      <c r="N1043" t="inlineStr">
        <is>
          <t>alt</t>
        </is>
      </c>
      <c r="O1043" t="n">
        <v>60</v>
      </c>
      <c r="P1043" t="n">
        <v>0.008545000000000001</v>
      </c>
      <c r="Q1043" t="n">
        <v>50</v>
      </c>
      <c r="R1043" t="n">
        <v>0.03046</v>
      </c>
      <c r="S1043">
        <f>IMAGE("https://mitra.stanford.edu/kundaje/oak/projects/neuro-variants/variant_position/credible/roussos_2024/variant_figures/roussos_2024.childhood.GLU/rs71428219_count_position.png",4,220,900)</f>
        <v/>
      </c>
      <c r="T1043">
        <f>IMAGE("https://mitra.stanford.edu/kundaje/oak/projects/neuro-variants/variant_position/credible/roussos_2024/variant_figures/roussos_2024.childhood.GLU/rs71428219_profile_position.png",4,220,900)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-0.0151432413999999</v>
      </c>
      <c r="G1044" t="n">
        <v>0.4355034785972541</v>
      </c>
      <c r="H1044" t="n">
        <v>0.0281418184706344</v>
      </c>
      <c r="I1044" t="n">
        <v>0.0274939335920875</v>
      </c>
      <c r="J1044" t="n">
        <v>0.0001720461124789</v>
      </c>
      <c r="K1044" t="n">
        <v>0.9172110392566348</v>
      </c>
      <c r="L1044" t="b">
        <v>0</v>
      </c>
      <c r="M1044" t="b">
        <v>0</v>
      </c>
      <c r="N1044" t="inlineStr">
        <is>
          <t>ref</t>
        </is>
      </c>
      <c r="O1044" t="n">
        <v>90</v>
      </c>
      <c r="P1044" t="n">
        <v>0.005417</v>
      </c>
      <c r="Q1044" t="n">
        <v>-25</v>
      </c>
      <c r="R1044" t="n">
        <v>0.02295</v>
      </c>
      <c r="S1044">
        <f>IMAGE("https://mitra.stanford.edu/kundaje/oak/projects/neuro-variants/variant_position/credible/roussos_2024/variant_figures/roussos_2024.childhood.GLU/rs9597412_count_position.png",4,220,900)</f>
        <v/>
      </c>
      <c r="T1044">
        <f>IMAGE("https://mitra.stanford.edu/kundaje/oak/projects/neuro-variants/variant_position/credible/roussos_2024/variant_figures/roussos_2024.childhood.GLU/rs9597412_profile_position.png",4,220,900)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0.008691360380000001</v>
      </c>
      <c r="G1045" t="n">
        <v>0.6897623582135353</v>
      </c>
      <c r="H1045" t="n">
        <v>0.0276845017026498</v>
      </c>
      <c r="I1045" t="n">
        <v>0.0287512096673483</v>
      </c>
      <c r="J1045" t="n">
        <v>9.271946181500264e-05</v>
      </c>
      <c r="K1045" t="n">
        <v>0.9448119154600716</v>
      </c>
      <c r="L1045" t="b">
        <v>0</v>
      </c>
      <c r="M1045" t="b">
        <v>0</v>
      </c>
      <c r="N1045" t="inlineStr">
        <is>
          <t>alt</t>
        </is>
      </c>
      <c r="O1045" t="n">
        <v>-100</v>
      </c>
      <c r="P1045" t="n">
        <v>0.01026</v>
      </c>
      <c r="Q1045" t="n">
        <v>-90</v>
      </c>
      <c r="R1045" t="n">
        <v>0.010376</v>
      </c>
      <c r="S1045">
        <f>IMAGE("https://mitra.stanford.edu/kundaje/oak/projects/neuro-variants/variant_position/credible/roussos_2024/variant_figures/roussos_2024.childhood.GLU/rs12853934_count_position.png",4,220,900)</f>
        <v/>
      </c>
      <c r="T1045">
        <f>IMAGE("https://mitra.stanford.edu/kundaje/oak/projects/neuro-variants/variant_position/credible/roussos_2024/variant_figures/roussos_2024.childhood.GLU/rs12853934_profile_position.png",4,220,900)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-0.0813647482</v>
      </c>
      <c r="G1046" t="n">
        <v>0.0711761597203036</v>
      </c>
      <c r="H1046" t="n">
        <v>0.0257540784378236</v>
      </c>
      <c r="I1046" t="n">
        <v>0.0420917479256901</v>
      </c>
      <c r="J1046" t="n">
        <v>0.011536361482275</v>
      </c>
      <c r="K1046" t="n">
        <v>0.5770343594179496</v>
      </c>
      <c r="L1046" t="b">
        <v>0</v>
      </c>
      <c r="M1046" t="b">
        <v>0</v>
      </c>
      <c r="N1046" t="inlineStr">
        <is>
          <t>ref</t>
        </is>
      </c>
      <c r="O1046" t="n">
        <v>-65</v>
      </c>
      <c r="P1046" t="n">
        <v>0.0061</v>
      </c>
      <c r="Q1046" t="n">
        <v>-50</v>
      </c>
      <c r="R1046" t="n">
        <v>0.1487</v>
      </c>
      <c r="S1046">
        <f>IMAGE("https://mitra.stanford.edu/kundaje/oak/projects/neuro-variants/variant_position/credible/roussos_2024/variant_figures/roussos_2024.childhood.GLU/rs13378557_count_position.png",4,220,900)</f>
        <v/>
      </c>
      <c r="T1046">
        <f>IMAGE("https://mitra.stanford.edu/kundaje/oak/projects/neuro-variants/variant_position/credible/roussos_2024/variant_figures/roussos_2024.childhood.GLU/rs13378557_profile_position.png",4,220,900)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-0.08196197080000001</v>
      </c>
      <c r="G1047" t="n">
        <v>0.0735008442984805</v>
      </c>
      <c r="H1047" t="n">
        <v>0.0346662512561259</v>
      </c>
      <c r="I1047" t="n">
        <v>0.0121111735850418</v>
      </c>
      <c r="J1047" t="n">
        <v>0.0035346719276375</v>
      </c>
      <c r="K1047" t="n">
        <v>0.7186886579175595</v>
      </c>
      <c r="L1047" t="b">
        <v>0</v>
      </c>
      <c r="M1047" t="b">
        <v>0</v>
      </c>
      <c r="N1047" t="inlineStr">
        <is>
          <t>ref</t>
        </is>
      </c>
      <c r="O1047" t="n">
        <v>-75</v>
      </c>
      <c r="P1047" t="n">
        <v>0.001923</v>
      </c>
      <c r="Q1047" t="n">
        <v>10</v>
      </c>
      <c r="R1047" t="n">
        <v>0.01807</v>
      </c>
      <c r="S1047">
        <f>IMAGE("https://mitra.stanford.edu/kundaje/oak/projects/neuro-variants/variant_position/credible/roussos_2024/variant_figures/roussos_2024.childhood.GLU/rs12874445_count_position.png",4,220,900)</f>
        <v/>
      </c>
      <c r="T1047">
        <f>IMAGE("https://mitra.stanford.edu/kundaje/oak/projects/neuro-variants/variant_position/credible/roussos_2024/variant_figures/roussos_2024.childhood.GLU/rs12874445_profile_position.png",4,220,900)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-0.00026165109</v>
      </c>
      <c r="G1048" t="n">
        <v>0.8118861445310718</v>
      </c>
      <c r="H1048" t="n">
        <v>0.0269280083518551</v>
      </c>
      <c r="I1048" t="n">
        <v>0.0331216089801083</v>
      </c>
      <c r="J1048" t="n">
        <v>0.0016637992314586</v>
      </c>
      <c r="K1048" t="n">
        <v>0.7902233161597794</v>
      </c>
      <c r="L1048" t="b">
        <v>0</v>
      </c>
      <c r="M1048" t="b">
        <v>0</v>
      </c>
      <c r="N1048" t="inlineStr">
        <is>
          <t>ref</t>
        </is>
      </c>
      <c r="O1048" t="n">
        <v>-70</v>
      </c>
      <c r="P1048" t="n">
        <v>0.00209</v>
      </c>
      <c r="Q1048" t="n">
        <v>35</v>
      </c>
      <c r="R1048" t="n">
        <v>0.03876</v>
      </c>
      <c r="S1048">
        <f>IMAGE("https://mitra.stanford.edu/kundaje/oak/projects/neuro-variants/variant_position/credible/roussos_2024/variant_figures/roussos_2024.childhood.GLU/rs1341548_count_position.png",4,220,900)</f>
        <v/>
      </c>
      <c r="T1048">
        <f>IMAGE("https://mitra.stanford.edu/kundaje/oak/projects/neuro-variants/variant_position/credible/roussos_2024/variant_figures/roussos_2024.childhood.GLU/rs1341548_profile_position.png",4,220,900)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0.0012495828199999</v>
      </c>
      <c r="G1049" t="n">
        <v>0.834842981911719</v>
      </c>
      <c r="H1049" t="n">
        <v>0.0180858082404494</v>
      </c>
      <c r="I1049" t="n">
        <v>0.1391547576270643</v>
      </c>
      <c r="J1049" t="n">
        <v>0.008534311351952701</v>
      </c>
      <c r="K1049" t="n">
        <v>0.6190140449998097</v>
      </c>
      <c r="L1049" t="b">
        <v>0</v>
      </c>
      <c r="M1049" t="b">
        <v>0</v>
      </c>
      <c r="N1049" t="inlineStr">
        <is>
          <t>alt</t>
        </is>
      </c>
      <c r="O1049" t="n">
        <v>-60</v>
      </c>
      <c r="P1049" t="n">
        <v>0.0456</v>
      </c>
      <c r="Q1049" t="n">
        <v>45</v>
      </c>
      <c r="R1049" t="n">
        <v>0.097</v>
      </c>
      <c r="S1049">
        <f>IMAGE("https://mitra.stanford.edu/kundaje/oak/projects/neuro-variants/variant_position/credible/roussos_2024/variant_figures/roussos_2024.childhood.GLU/rs34927497_count_position.png",4,220,900)</f>
        <v/>
      </c>
      <c r="T1049">
        <f>IMAGE("https://mitra.stanford.edu/kundaje/oak/projects/neuro-variants/variant_position/credible/roussos_2024/variant_figures/roussos_2024.childhood.GLU/rs34927497_profile_position.png",4,220,900)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-0.0963522532</v>
      </c>
      <c r="G1050" t="n">
        <v>0.0586731148498928</v>
      </c>
      <c r="H1050" t="n">
        <v>0.0394948257078672</v>
      </c>
      <c r="I1050" t="n">
        <v>0.0073956638855266</v>
      </c>
      <c r="J1050" t="n">
        <v>0.0678078028578198</v>
      </c>
      <c r="K1050" t="n">
        <v>0.3174910723157351</v>
      </c>
      <c r="L1050" t="b">
        <v>1</v>
      </c>
      <c r="M1050" t="b">
        <v>1</v>
      </c>
      <c r="N1050" t="inlineStr">
        <is>
          <t>ref</t>
        </is>
      </c>
      <c r="O1050" t="n">
        <v>-100</v>
      </c>
      <c r="P1050" t="n">
        <v>0.007378</v>
      </c>
      <c r="Q1050" t="n">
        <v>-90</v>
      </c>
      <c r="R1050" t="n">
        <v>0.1296</v>
      </c>
      <c r="S1050">
        <f>IMAGE("https://mitra.stanford.edu/kundaje/oak/projects/neuro-variants/variant_position/credible/roussos_2024/variant_figures/roussos_2024.childhood.GLU/rs9563564_count_position.png",4,220,900)</f>
        <v/>
      </c>
      <c r="T1050">
        <f>IMAGE("https://mitra.stanford.edu/kundaje/oak/projects/neuro-variants/variant_position/credible/roussos_2024/variant_figures/roussos_2024.childhood.GLU/rs9563564_profile_position.png",4,220,900)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0.014238692</v>
      </c>
      <c r="G1051" t="n">
        <v>0.5206594040412288</v>
      </c>
      <c r="H1051" t="n">
        <v>0.0114832670374738</v>
      </c>
      <c r="I1051" t="n">
        <v>0.495905798574734</v>
      </c>
      <c r="J1051" t="n">
        <v>0.0009045298608176</v>
      </c>
      <c r="K1051" t="n">
        <v>0.8431855621430256</v>
      </c>
      <c r="L1051" t="b">
        <v>0</v>
      </c>
      <c r="M1051" t="b">
        <v>0</v>
      </c>
      <c r="N1051" t="inlineStr">
        <is>
          <t>alt</t>
        </is>
      </c>
      <c r="O1051" t="n">
        <v>75</v>
      </c>
      <c r="P1051" t="n">
        <v>0.003769</v>
      </c>
      <c r="Q1051" t="n">
        <v>95</v>
      </c>
      <c r="R1051" t="n">
        <v>0.0664</v>
      </c>
      <c r="S1051">
        <f>IMAGE("https://mitra.stanford.edu/kundaje/oak/projects/neuro-variants/variant_position/credible/roussos_2024/variant_figures/roussos_2024.childhood.GLU/rs9569791_count_position.png",4,220,900)</f>
        <v/>
      </c>
      <c r="T1051">
        <f>IMAGE("https://mitra.stanford.edu/kundaje/oak/projects/neuro-variants/variant_position/credible/roussos_2024/variant_figures/roussos_2024.childhood.GLU/rs9569791_profile_position.png",4,220,900)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-0.131557115</v>
      </c>
      <c r="G1052" t="n">
        <v>0.0270788343588033</v>
      </c>
      <c r="H1052" t="n">
        <v>0.0198900973739081</v>
      </c>
      <c r="I1052" t="n">
        <v>0.1006969982634878</v>
      </c>
      <c r="J1052" t="n">
        <v>0.0012733472755931</v>
      </c>
      <c r="K1052" t="n">
        <v>0.8218040084902813</v>
      </c>
      <c r="L1052" t="b">
        <v>0</v>
      </c>
      <c r="M1052" t="b">
        <v>0</v>
      </c>
      <c r="N1052" t="inlineStr">
        <is>
          <t>ref</t>
        </is>
      </c>
      <c r="O1052" t="n">
        <v>100</v>
      </c>
      <c r="P1052" t="n">
        <v>0.02371</v>
      </c>
      <c r="Q1052" t="n">
        <v>-5</v>
      </c>
      <c r="R1052" t="n">
        <v>0.000977</v>
      </c>
      <c r="S1052">
        <f>IMAGE("https://mitra.stanford.edu/kundaje/oak/projects/neuro-variants/variant_position/credible/roussos_2024/variant_figures/roussos_2024.childhood.GLU/rs9569794_count_position.png",4,220,900)</f>
        <v/>
      </c>
      <c r="T1052">
        <f>IMAGE("https://mitra.stanford.edu/kundaje/oak/projects/neuro-variants/variant_position/credible/roussos_2024/variant_figures/roussos_2024.childhood.GLU/rs9569794_profile_position.png",4,220,900)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-0.1541742019999999</v>
      </c>
      <c r="G1053" t="n">
        <v>0.0166277429839242</v>
      </c>
      <c r="H1053" t="n">
        <v>0.033127255446807</v>
      </c>
      <c r="I1053" t="n">
        <v>0.0150159308151383</v>
      </c>
      <c r="J1053" t="n">
        <v>0.0529376616151729</v>
      </c>
      <c r="K1053" t="n">
        <v>0.3421103570360549</v>
      </c>
      <c r="L1053" t="b">
        <v>1</v>
      </c>
      <c r="M1053" t="b">
        <v>0</v>
      </c>
      <c r="N1053" t="inlineStr">
        <is>
          <t>ref</t>
        </is>
      </c>
      <c r="O1053" t="n">
        <v>-55</v>
      </c>
      <c r="P1053" t="n">
        <v>0.008514000000000001</v>
      </c>
      <c r="Q1053" t="n">
        <v>-70</v>
      </c>
      <c r="R1053" t="n">
        <v>0.269</v>
      </c>
      <c r="S1053">
        <f>IMAGE("https://mitra.stanford.edu/kundaje/oak/projects/neuro-variants/variant_position/credible/roussos_2024/variant_figures/roussos_2024.childhood.GLU/rs9316967_count_position.png",4,220,900)</f>
        <v/>
      </c>
      <c r="T1053">
        <f>IMAGE("https://mitra.stanford.edu/kundaje/oak/projects/neuro-variants/variant_position/credible/roussos_2024/variant_figures/roussos_2024.childhood.GLU/rs9316967_profile_position.png",4,220,900)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0.1444645848</v>
      </c>
      <c r="G1054" t="n">
        <v>0.0188042008962099</v>
      </c>
      <c r="H1054" t="n">
        <v>0.0205277835953111</v>
      </c>
      <c r="I1054" t="n">
        <v>0.0893800153936852</v>
      </c>
      <c r="J1054" t="n">
        <v>0.0028763637487508</v>
      </c>
      <c r="K1054" t="n">
        <v>0.785052772853749</v>
      </c>
      <c r="L1054" t="b">
        <v>1</v>
      </c>
      <c r="M1054" t="b">
        <v>0</v>
      </c>
      <c r="N1054" t="inlineStr">
        <is>
          <t>alt</t>
        </is>
      </c>
      <c r="O1054" t="n">
        <v>-25</v>
      </c>
      <c r="P1054" t="n">
        <v>0.005898</v>
      </c>
      <c r="Q1054" t="n">
        <v>35</v>
      </c>
      <c r="R1054" t="n">
        <v>0.01868</v>
      </c>
      <c r="S1054">
        <f>IMAGE("https://mitra.stanford.edu/kundaje/oak/projects/neuro-variants/variant_position/credible/roussos_2024/variant_figures/roussos_2024.childhood.GLU/rs9634882_count_position.png",4,220,900)</f>
        <v/>
      </c>
      <c r="T1054">
        <f>IMAGE("https://mitra.stanford.edu/kundaje/oak/projects/neuro-variants/variant_position/credible/roussos_2024/variant_figures/roussos_2024.childhood.GLU/rs9634882_profile_position.png",4,220,900)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0.1284576899999999</v>
      </c>
      <c r="G1055" t="n">
        <v>0.0243657479086197</v>
      </c>
      <c r="H1055" t="n">
        <v>0.0159418682796875</v>
      </c>
      <c r="I1055" t="n">
        <v>0.2035987198774596</v>
      </c>
      <c r="J1055" t="n">
        <v>0.0944182883987348</v>
      </c>
      <c r="K1055" t="n">
        <v>0.2602121046391955</v>
      </c>
      <c r="L1055" t="b">
        <v>0</v>
      </c>
      <c r="M1055" t="b">
        <v>0</v>
      </c>
      <c r="N1055" t="inlineStr">
        <is>
          <t>alt</t>
        </is>
      </c>
      <c r="O1055" t="n">
        <v>95</v>
      </c>
      <c r="P1055" t="n">
        <v>0.005722</v>
      </c>
      <c r="Q1055" t="n">
        <v>-50</v>
      </c>
      <c r="R1055" t="n">
        <v>0.01727</v>
      </c>
      <c r="S1055">
        <f>IMAGE("https://mitra.stanford.edu/kundaje/oak/projects/neuro-variants/variant_position/credible/roussos_2024/variant_figures/roussos_2024.childhood.GLU/rs11148423_count_position.png",4,220,900)</f>
        <v/>
      </c>
      <c r="T1055">
        <f>IMAGE("https://mitra.stanford.edu/kundaje/oak/projects/neuro-variants/variant_position/credible/roussos_2024/variant_figures/roussos_2024.childhood.GLU/rs11148423_profile_position.png",4,220,900)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-0.07591808559999989</v>
      </c>
      <c r="G1056" t="n">
        <v>0.1026239250716667</v>
      </c>
      <c r="H1056" t="n">
        <v>0.0242185031637799</v>
      </c>
      <c r="I1056" t="n">
        <v>0.0526269291689118</v>
      </c>
      <c r="J1056" t="n">
        <v>0.0006840635849464</v>
      </c>
      <c r="K1056" t="n">
        <v>0.8513945560692783</v>
      </c>
      <c r="L1056" t="b">
        <v>0</v>
      </c>
      <c r="M1056" t="b">
        <v>0</v>
      </c>
      <c r="N1056" t="inlineStr">
        <is>
          <t>ref</t>
        </is>
      </c>
      <c r="O1056" t="n">
        <v>60</v>
      </c>
      <c r="P1056" t="n">
        <v>0.007713</v>
      </c>
      <c r="Q1056" t="n">
        <v>20</v>
      </c>
      <c r="R1056" t="n">
        <v>0.06444999999999999</v>
      </c>
      <c r="S1056">
        <f>IMAGE("https://mitra.stanford.edu/kundaje/oak/projects/neuro-variants/variant_position/credible/roussos_2024/variant_figures/roussos_2024.childhood.GLU/rs7998206_count_position.png",4,220,900)</f>
        <v/>
      </c>
      <c r="T1056">
        <f>IMAGE("https://mitra.stanford.edu/kundaje/oak/projects/neuro-variants/variant_position/credible/roussos_2024/variant_figures/roussos_2024.childhood.GLU/rs7998206_profile_position.png",4,220,900)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0.0500512039999999</v>
      </c>
      <c r="G1057" t="n">
        <v>0.1712069650503481</v>
      </c>
      <c r="H1057" t="n">
        <v>0.0099193258086598</v>
      </c>
      <c r="I1057" t="n">
        <v>0.6720700212311552</v>
      </c>
      <c r="J1057" t="n">
        <v>0.0010776061895391</v>
      </c>
      <c r="K1057" t="n">
        <v>0.8182964087870694</v>
      </c>
      <c r="L1057" t="b">
        <v>0</v>
      </c>
      <c r="M1057" t="b">
        <v>0</v>
      </c>
      <c r="N1057" t="inlineStr">
        <is>
          <t>alt</t>
        </is>
      </c>
      <c r="O1057" t="n">
        <v>90</v>
      </c>
      <c r="P1057" t="n">
        <v>0.00393</v>
      </c>
      <c r="Q1057" t="n">
        <v>0</v>
      </c>
      <c r="R1057" t="n">
        <v>0</v>
      </c>
      <c r="S1057">
        <f>IMAGE("https://mitra.stanford.edu/kundaje/oak/projects/neuro-variants/variant_position/credible/roussos_2024/variant_figures/roussos_2024.childhood.GLU/rs9563574_count_position.png",4,220,900)</f>
        <v/>
      </c>
      <c r="T1057">
        <f>IMAGE("https://mitra.stanford.edu/kundaje/oak/projects/neuro-variants/variant_position/credible/roussos_2024/variant_figures/roussos_2024.childhood.GLU/rs9563574_profile_position.png",4,220,900)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-0.0507056761999999</v>
      </c>
      <c r="G1058" t="n">
        <v>0.1769766407778721</v>
      </c>
      <c r="H1058" t="n">
        <v>0.0473186020413603</v>
      </c>
      <c r="I1058" t="n">
        <v>0.0033797139092018</v>
      </c>
      <c r="J1058" t="n">
        <v>0.019645193526121</v>
      </c>
      <c r="K1058" t="n">
        <v>0.5079420216048671</v>
      </c>
      <c r="L1058" t="b">
        <v>1</v>
      </c>
      <c r="M1058" t="b">
        <v>0</v>
      </c>
      <c r="N1058" t="inlineStr">
        <is>
          <t>ref</t>
        </is>
      </c>
      <c r="O1058" t="n">
        <v>45</v>
      </c>
      <c r="P1058" t="n">
        <v>0.0067</v>
      </c>
      <c r="Q1058" t="n">
        <v>40</v>
      </c>
      <c r="R1058" t="n">
        <v>0.07666000000000001</v>
      </c>
      <c r="S1058">
        <f>IMAGE("https://mitra.stanford.edu/kundaje/oak/projects/neuro-variants/variant_position/credible/roussos_2024/variant_figures/roussos_2024.childhood.GLU/rs9569815_count_position.png",4,220,900)</f>
        <v/>
      </c>
      <c r="T1058">
        <f>IMAGE("https://mitra.stanford.edu/kundaje/oak/projects/neuro-variants/variant_position/credible/roussos_2024/variant_figures/roussos_2024.childhood.GLU/rs9569815_profile_position.png",4,220,900)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-0.00392309209</v>
      </c>
      <c r="G1059" t="n">
        <v>0.8457983899613826</v>
      </c>
      <c r="H1059" t="n">
        <v>0.0263097934407191</v>
      </c>
      <c r="I1059" t="n">
        <v>0.0363604353721172</v>
      </c>
      <c r="J1059" t="n">
        <v>0.0709818991006211</v>
      </c>
      <c r="K1059" t="n">
        <v>0.3174351232809478</v>
      </c>
      <c r="L1059" t="b">
        <v>0</v>
      </c>
      <c r="M1059" t="b">
        <v>0</v>
      </c>
      <c r="N1059" t="inlineStr">
        <is>
          <t>ref</t>
        </is>
      </c>
      <c r="O1059" t="n">
        <v>90</v>
      </c>
      <c r="P1059" t="n">
        <v>0.008319999999999999</v>
      </c>
      <c r="Q1059" t="n">
        <v>-90</v>
      </c>
      <c r="R1059" t="n">
        <v>0.1753</v>
      </c>
      <c r="S1059">
        <f>IMAGE("https://mitra.stanford.edu/kundaje/oak/projects/neuro-variants/variant_position/credible/roussos_2024/variant_figures/roussos_2024.childhood.GLU/rs34723208_count_position.png",4,220,900)</f>
        <v/>
      </c>
      <c r="T1059">
        <f>IMAGE("https://mitra.stanford.edu/kundaje/oak/projects/neuro-variants/variant_position/credible/roussos_2024/variant_figures/roussos_2024.childhood.GLU/rs34723208_profile_position.png",4,220,900)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-0.0023764357519999</v>
      </c>
      <c r="G1060" t="n">
        <v>0.8791110693755392</v>
      </c>
      <c r="H1060" t="n">
        <v>0.0223545174549293</v>
      </c>
      <c r="I1060" t="n">
        <v>0.0659860766911783</v>
      </c>
      <c r="J1060" t="n">
        <v>0.0341011878393274</v>
      </c>
      <c r="K1060" t="n">
        <v>0.4084941831766489</v>
      </c>
      <c r="L1060" t="b">
        <v>0</v>
      </c>
      <c r="M1060" t="b">
        <v>0</v>
      </c>
      <c r="N1060" t="inlineStr">
        <is>
          <t>ref</t>
        </is>
      </c>
      <c r="O1060" t="n">
        <v>-55</v>
      </c>
      <c r="P1060" t="n">
        <v>0.009186</v>
      </c>
      <c r="Q1060" t="n">
        <v>-85</v>
      </c>
      <c r="R1060" t="n">
        <v>0.276</v>
      </c>
      <c r="S1060">
        <f>IMAGE("https://mitra.stanford.edu/kundaje/oak/projects/neuro-variants/variant_position/credible/roussos_2024/variant_figures/roussos_2024.childhood.GLU/rs7989885_count_position.png",4,220,900)</f>
        <v/>
      </c>
      <c r="T1060">
        <f>IMAGE("https://mitra.stanford.edu/kundaje/oak/projects/neuro-variants/variant_position/credible/roussos_2024/variant_figures/roussos_2024.childhood.GLU/rs7989885_profile_position.png",4,220,900)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-0.02864860156</v>
      </c>
      <c r="G1061" t="n">
        <v>0.3959990931207108</v>
      </c>
      <c r="H1061" t="n">
        <v>0.0273891757719776</v>
      </c>
      <c r="I1061" t="n">
        <v>0.0303101391224064</v>
      </c>
      <c r="J1061" t="n">
        <v>0.3172035810316586</v>
      </c>
      <c r="K1061" t="n">
        <v>0.0907280824910769</v>
      </c>
      <c r="L1061" t="b">
        <v>0</v>
      </c>
      <c r="M1061" t="b">
        <v>0</v>
      </c>
      <c r="N1061" t="inlineStr">
        <is>
          <t>ref</t>
        </is>
      </c>
      <c r="O1061" t="n">
        <v>-100</v>
      </c>
      <c r="P1061" t="n">
        <v>0.02658</v>
      </c>
      <c r="Q1061" t="n">
        <v>20</v>
      </c>
      <c r="R1061" t="n">
        <v>0.0166</v>
      </c>
      <c r="S1061">
        <f>IMAGE("https://mitra.stanford.edu/kundaje/oak/projects/neuro-variants/variant_position/credible/roussos_2024/variant_figures/roussos_2024.childhood.GLU/rs4886061_count_position.png",4,220,900)</f>
        <v/>
      </c>
      <c r="T1061">
        <f>IMAGE("https://mitra.stanford.edu/kundaje/oak/projects/neuro-variants/variant_position/credible/roussos_2024/variant_figures/roussos_2024.childhood.GLU/rs4886061_profile_position.png",4,220,900)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-0.0360751399999999</v>
      </c>
      <c r="G1062" t="n">
        <v>0.3077533478752505</v>
      </c>
      <c r="H1062" t="n">
        <v>0.0254135424259904</v>
      </c>
      <c r="I1062" t="n">
        <v>0.0408484474720879</v>
      </c>
      <c r="J1062" t="n">
        <v>0.3171644328144477</v>
      </c>
      <c r="K1062" t="n">
        <v>0.0907376268481284</v>
      </c>
      <c r="L1062" t="b">
        <v>0</v>
      </c>
      <c r="M1062" t="b">
        <v>0</v>
      </c>
      <c r="N1062" t="inlineStr">
        <is>
          <t>ref</t>
        </is>
      </c>
      <c r="O1062" t="n">
        <v>-100</v>
      </c>
      <c r="P1062" t="n">
        <v>0.02654</v>
      </c>
      <c r="Q1062" t="n">
        <v>-80</v>
      </c>
      <c r="R1062" t="n">
        <v>0.01709</v>
      </c>
      <c r="S1062">
        <f>IMAGE("https://mitra.stanford.edu/kundaje/oak/projects/neuro-variants/variant_position/credible/roussos_2024/variant_figures/roussos_2024.childhood.GLU/rs66514580_count_position.png",4,220,900)</f>
        <v/>
      </c>
      <c r="T1062">
        <f>IMAGE("https://mitra.stanford.edu/kundaje/oak/projects/neuro-variants/variant_position/credible/roussos_2024/variant_figures/roussos_2024.childhood.GLU/rs66514580_profile_position.png",4,220,900)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0.0560080676</v>
      </c>
      <c r="G1063" t="n">
        <v>0.1504305060807615</v>
      </c>
      <c r="H1063" t="n">
        <v>0.0182518449459331</v>
      </c>
      <c r="I1063" t="n">
        <v>0.1355592488839568</v>
      </c>
      <c r="J1063" t="n">
        <v>0.0098365046823327</v>
      </c>
      <c r="K1063" t="n">
        <v>0.5942377954291137</v>
      </c>
      <c r="L1063" t="b">
        <v>0</v>
      </c>
      <c r="M1063" t="b">
        <v>0</v>
      </c>
      <c r="N1063" t="inlineStr">
        <is>
          <t>alt</t>
        </is>
      </c>
      <c r="O1063" t="n">
        <v>-60</v>
      </c>
      <c r="P1063" t="n">
        <v>0.003914</v>
      </c>
      <c r="Q1063" t="n">
        <v>100</v>
      </c>
      <c r="R1063" t="n">
        <v>0.08136</v>
      </c>
      <c r="S1063">
        <f>IMAGE("https://mitra.stanford.edu/kundaje/oak/projects/neuro-variants/variant_position/credible/roussos_2024/variant_figures/roussos_2024.childhood.GLU/rs4884299_count_position.png",4,220,900)</f>
        <v/>
      </c>
      <c r="T1063">
        <f>IMAGE("https://mitra.stanford.edu/kundaje/oak/projects/neuro-variants/variant_position/credible/roussos_2024/variant_figures/roussos_2024.childhood.GLU/rs4884299_profile_position.png",4,220,900)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0.01886979334</v>
      </c>
      <c r="G1064" t="n">
        <v>0.4216971988433881</v>
      </c>
      <c r="H1064" t="n">
        <v>0.0149790854534226</v>
      </c>
      <c r="I1064" t="n">
        <v>0.2499743194449458</v>
      </c>
      <c r="J1064" t="n">
        <v>0.0320840244367292</v>
      </c>
      <c r="K1064" t="n">
        <v>0.421832812250312</v>
      </c>
      <c r="L1064" t="b">
        <v>0</v>
      </c>
      <c r="M1064" t="b">
        <v>0</v>
      </c>
      <c r="N1064" t="inlineStr">
        <is>
          <t>alt</t>
        </is>
      </c>
      <c r="O1064" t="n">
        <v>-10</v>
      </c>
      <c r="P1064" t="n">
        <v>0.002747</v>
      </c>
      <c r="Q1064" t="n">
        <v>-5</v>
      </c>
      <c r="R1064" t="n">
        <v>0.03467</v>
      </c>
      <c r="S1064">
        <f>IMAGE("https://mitra.stanford.edu/kundaje/oak/projects/neuro-variants/variant_position/credible/roussos_2024/variant_figures/roussos_2024.childhood.GLU/rs56313517_count_position.png",4,220,900)</f>
        <v/>
      </c>
      <c r="T1064">
        <f>IMAGE("https://mitra.stanford.edu/kundaje/oak/projects/neuro-variants/variant_position/credible/roussos_2024/variant_figures/roussos_2024.childhood.GLU/rs56313517_profile_position.png",4,220,900)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0.0548838826</v>
      </c>
      <c r="G1065" t="n">
        <v>0.144233753194525</v>
      </c>
      <c r="H1065" t="n">
        <v>0.0217063640299687</v>
      </c>
      <c r="I1065" t="n">
        <v>0.0761417013139097</v>
      </c>
      <c r="J1065" t="n">
        <v>0.0012908609517137</v>
      </c>
      <c r="K1065" t="n">
        <v>0.8012562757913619</v>
      </c>
      <c r="L1065" t="b">
        <v>0</v>
      </c>
      <c r="M1065" t="b">
        <v>0</v>
      </c>
      <c r="N1065" t="inlineStr">
        <is>
          <t>alt</t>
        </is>
      </c>
      <c r="O1065" t="n">
        <v>80</v>
      </c>
      <c r="P1065" t="n">
        <v>0.001417</v>
      </c>
      <c r="Q1065" t="n">
        <v>5</v>
      </c>
      <c r="R1065" t="n">
        <v>0.006317</v>
      </c>
      <c r="S1065">
        <f>IMAGE("https://mitra.stanford.edu/kundaje/oak/projects/neuro-variants/variant_position/credible/roussos_2024/variant_figures/roussos_2024.childhood.GLU/rs9571511_count_position.png",4,220,900)</f>
        <v/>
      </c>
      <c r="T1065">
        <f>IMAGE("https://mitra.stanford.edu/kundaje/oak/projects/neuro-variants/variant_position/credible/roussos_2024/variant_figures/roussos_2024.childhood.GLU/rs9571511_profile_position.png",4,220,900)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0.0184051233999999</v>
      </c>
      <c r="G1066" t="n">
        <v>0.4711361355899381</v>
      </c>
      <c r="H1066" t="n">
        <v>0.0092187453702515</v>
      </c>
      <c r="I1066" t="n">
        <v>0.7426810849825225</v>
      </c>
      <c r="J1066" t="n">
        <v>0.0107018863259397</v>
      </c>
      <c r="K1066" t="n">
        <v>0.6043182543062582</v>
      </c>
      <c r="L1066" t="b">
        <v>0</v>
      </c>
      <c r="M1066" t="b">
        <v>0</v>
      </c>
      <c r="N1066" t="inlineStr">
        <is>
          <t>alt</t>
        </is>
      </c>
      <c r="O1066" t="n">
        <v>35</v>
      </c>
      <c r="P1066" t="n">
        <v>0.002308</v>
      </c>
      <c r="Q1066" t="n">
        <v>-85</v>
      </c>
      <c r="R1066" t="n">
        <v>0.1783</v>
      </c>
      <c r="S1066">
        <f>IMAGE("https://mitra.stanford.edu/kundaje/oak/projects/neuro-variants/variant_position/credible/roussos_2024/variant_figures/roussos_2024.childhood.GLU/rs9545047_count_position.png",4,220,900)</f>
        <v/>
      </c>
      <c r="T1066">
        <f>IMAGE("https://mitra.stanford.edu/kundaje/oak/projects/neuro-variants/variant_position/credible/roussos_2024/variant_figures/roussos_2024.childhood.GLU/rs9545047_profile_position.png",4,220,900)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-0.0445408108</v>
      </c>
      <c r="G1067" t="n">
        <v>0.2284181363847933</v>
      </c>
      <c r="H1067" t="n">
        <v>0.0272932427259717</v>
      </c>
      <c r="I1067" t="n">
        <v>0.0325314345621067</v>
      </c>
      <c r="J1067" t="n">
        <v>0.000106112272966</v>
      </c>
      <c r="K1067" t="n">
        <v>0.9401616225102482</v>
      </c>
      <c r="L1067" t="b">
        <v>0</v>
      </c>
      <c r="M1067" t="b">
        <v>0</v>
      </c>
      <c r="N1067" t="inlineStr">
        <is>
          <t>ref</t>
        </is>
      </c>
      <c r="O1067" t="n">
        <v>-10</v>
      </c>
      <c r="P1067" t="n">
        <v>0.000572</v>
      </c>
      <c r="Q1067" t="n">
        <v>-20</v>
      </c>
      <c r="R1067" t="n">
        <v>0.0257</v>
      </c>
      <c r="S1067">
        <f>IMAGE("https://mitra.stanford.edu/kundaje/oak/projects/neuro-variants/variant_position/credible/roussos_2024/variant_figures/roussos_2024.childhood.GLU/rs9545087_count_position.png",4,220,900)</f>
        <v/>
      </c>
      <c r="T1067">
        <f>IMAGE("https://mitra.stanford.edu/kundaje/oak/projects/neuro-variants/variant_position/credible/roussos_2024/variant_figures/roussos_2024.childhood.GLU/rs9545087_profile_position.png",4,220,900)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-0.00935534029</v>
      </c>
      <c r="G1068" t="n">
        <v>0.6847297432344999</v>
      </c>
      <c r="H1068" t="n">
        <v>0.0225066720977923</v>
      </c>
      <c r="I1068" t="n">
        <v>0.06385285591584471</v>
      </c>
      <c r="J1068" t="n">
        <v>0.0094316296990737</v>
      </c>
      <c r="K1068" t="n">
        <v>0.5940526033642037</v>
      </c>
      <c r="L1068" t="b">
        <v>0</v>
      </c>
      <c r="M1068" t="b">
        <v>0</v>
      </c>
      <c r="N1068" t="inlineStr">
        <is>
          <t>ref</t>
        </is>
      </c>
      <c r="O1068" t="n">
        <v>60</v>
      </c>
      <c r="P1068" t="n">
        <v>0.01945</v>
      </c>
      <c r="Q1068" t="n">
        <v>50</v>
      </c>
      <c r="R1068" t="n">
        <v>0.01865</v>
      </c>
      <c r="S1068">
        <f>IMAGE("https://mitra.stanford.edu/kundaje/oak/projects/neuro-variants/variant_position/credible/roussos_2024/variant_figures/roussos_2024.childhood.GLU/rs9530904_count_position.png",4,220,900)</f>
        <v/>
      </c>
      <c r="T1068">
        <f>IMAGE("https://mitra.stanford.edu/kundaje/oak/projects/neuro-variants/variant_position/credible/roussos_2024/variant_figures/roussos_2024.childhood.GLU/rs9530904_profile_position.png",4,220,900)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0.0641000992</v>
      </c>
      <c r="G1069" t="n">
        <v>0.1151660462334081</v>
      </c>
      <c r="H1069" t="n">
        <v>0.0308874713124818</v>
      </c>
      <c r="I1069" t="n">
        <v>0.0189394067915199</v>
      </c>
      <c r="J1069" t="n">
        <v>0.0104536042115239</v>
      </c>
      <c r="K1069" t="n">
        <v>0.5835104076942116</v>
      </c>
      <c r="L1069" t="b">
        <v>1</v>
      </c>
      <c r="M1069" t="b">
        <v>0</v>
      </c>
      <c r="N1069" t="inlineStr">
        <is>
          <t>alt</t>
        </is>
      </c>
      <c r="O1069" t="n">
        <v>60</v>
      </c>
      <c r="P1069" t="n">
        <v>0.003262</v>
      </c>
      <c r="Q1069" t="n">
        <v>65</v>
      </c>
      <c r="R1069" t="n">
        <v>0.0843</v>
      </c>
      <c r="S1069">
        <f>IMAGE("https://mitra.stanford.edu/kundaje/oak/projects/neuro-variants/variant_position/credible/roussos_2024/variant_figures/roussos_2024.childhood.GLU/rs9545108_count_position.png",4,220,900)</f>
        <v/>
      </c>
      <c r="T1069">
        <f>IMAGE("https://mitra.stanford.edu/kundaje/oak/projects/neuro-variants/variant_position/credible/roussos_2024/variant_figures/roussos_2024.childhood.GLU/rs9545108_profile_position.png",4,220,900)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-0.0207635379999999</v>
      </c>
      <c r="G1070" t="n">
        <v>0.4534946314856557</v>
      </c>
      <c r="H1070" t="n">
        <v>0.008818511924200899</v>
      </c>
      <c r="I1070" t="n">
        <v>0.7759535675233158</v>
      </c>
      <c r="J1070" t="n">
        <v>0.0176620272595217</v>
      </c>
      <c r="K1070" t="n">
        <v>0.5069194961911049</v>
      </c>
      <c r="L1070" t="b">
        <v>0</v>
      </c>
      <c r="M1070" t="b">
        <v>0</v>
      </c>
      <c r="N1070" t="inlineStr">
        <is>
          <t>ref</t>
        </is>
      </c>
      <c r="O1070" t="n">
        <v>-45</v>
      </c>
      <c r="P1070" t="n">
        <v>0.001053</v>
      </c>
      <c r="Q1070" t="n">
        <v>5</v>
      </c>
      <c r="R1070" t="n">
        <v>0.0010605</v>
      </c>
      <c r="S1070">
        <f>IMAGE("https://mitra.stanford.edu/kundaje/oak/projects/neuro-variants/variant_position/credible/roussos_2024/variant_figures/roussos_2024.childhood.GLU/rs9574422_count_position.png",4,220,900)</f>
        <v/>
      </c>
      <c r="T1070">
        <f>IMAGE("https://mitra.stanford.edu/kundaje/oak/projects/neuro-variants/variant_position/credible/roussos_2024/variant_figures/roussos_2024.childhood.GLU/rs9574422_profile_position.png",4,220,900)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0.0022022212399999</v>
      </c>
      <c r="G1071" t="n">
        <v>0.8046475849635014</v>
      </c>
      <c r="H1071" t="n">
        <v>0.0256134775075864</v>
      </c>
      <c r="I1071" t="n">
        <v>0.0396706245996565</v>
      </c>
      <c r="J1071" t="n">
        <v>0.0078873355517322</v>
      </c>
      <c r="K1071" t="n">
        <v>0.6437130468888327</v>
      </c>
      <c r="L1071" t="b">
        <v>0</v>
      </c>
      <c r="M1071" t="b">
        <v>0</v>
      </c>
      <c r="N1071" t="inlineStr">
        <is>
          <t>alt</t>
        </is>
      </c>
      <c r="O1071" t="n">
        <v>-100</v>
      </c>
      <c r="P1071" t="n">
        <v>0.01213</v>
      </c>
      <c r="Q1071" t="n">
        <v>-100</v>
      </c>
      <c r="R1071" t="n">
        <v>0.1172</v>
      </c>
      <c r="S1071">
        <f>IMAGE("https://mitra.stanford.edu/kundaje/oak/projects/neuro-variants/variant_position/credible/roussos_2024/variant_figures/roussos_2024.childhood.GLU/rs1840492_count_position.png",4,220,900)</f>
        <v/>
      </c>
      <c r="T1071">
        <f>IMAGE("https://mitra.stanford.edu/kundaje/oak/projects/neuro-variants/variant_position/credible/roussos_2024/variant_figures/roussos_2024.childhood.GLU/rs1840492_profile_position.png",4,220,900)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-0.0143560954</v>
      </c>
      <c r="G1072" t="n">
        <v>0.242275548101409</v>
      </c>
      <c r="H1072" t="n">
        <v>0.0164460608370975</v>
      </c>
      <c r="I1072" t="n">
        <v>0.2108297846036935</v>
      </c>
      <c r="J1072" t="n">
        <v>0.0014247890632243</v>
      </c>
      <c r="K1072" t="n">
        <v>0.809584762876613</v>
      </c>
      <c r="L1072" t="b">
        <v>0</v>
      </c>
      <c r="M1072" t="b">
        <v>0</v>
      </c>
      <c r="N1072" t="inlineStr">
        <is>
          <t>ref</t>
        </is>
      </c>
      <c r="O1072" t="n">
        <v>100</v>
      </c>
      <c r="P1072" t="n">
        <v>0.00665</v>
      </c>
      <c r="Q1072" t="n">
        <v>30</v>
      </c>
      <c r="R1072" t="n">
        <v>0.04385</v>
      </c>
      <c r="S1072">
        <f>IMAGE("https://mitra.stanford.edu/kundaje/oak/projects/neuro-variants/variant_position/credible/roussos_2024/variant_figures/roussos_2024.childhood.GLU/rs2347140_count_position.png",4,220,900)</f>
        <v/>
      </c>
      <c r="T1072">
        <f>IMAGE("https://mitra.stanford.edu/kundaje/oak/projects/neuro-variants/variant_position/credible/roussos_2024/variant_figures/roussos_2024.childhood.GLU/rs2347140_profile_position.png",4,220,900)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-0.175754106</v>
      </c>
      <c r="G1073" t="n">
        <v>0.0110569414364855</v>
      </c>
      <c r="H1073" t="n">
        <v>0.0284102425699498</v>
      </c>
      <c r="I1073" t="n">
        <v>0.0273542341601489</v>
      </c>
      <c r="J1073" t="n">
        <v>0.0562065377522741</v>
      </c>
      <c r="K1073" t="n">
        <v>0.3315289362159781</v>
      </c>
      <c r="L1073" t="b">
        <v>1</v>
      </c>
      <c r="M1073" t="b">
        <v>0</v>
      </c>
      <c r="N1073" t="inlineStr">
        <is>
          <t>ref</t>
        </is>
      </c>
      <c r="O1073" t="n">
        <v>-95</v>
      </c>
      <c r="P1073" t="n">
        <v>0.00328</v>
      </c>
      <c r="Q1073" t="n">
        <v>-100</v>
      </c>
      <c r="R1073" t="n">
        <v>0.134</v>
      </c>
      <c r="S1073">
        <f>IMAGE("https://mitra.stanford.edu/kundaje/oak/projects/neuro-variants/variant_position/credible/roussos_2024/variant_figures/roussos_2024.childhood.GLU/rs396977_count_position.png",4,220,900)</f>
        <v/>
      </c>
      <c r="T1073">
        <f>IMAGE("https://mitra.stanford.edu/kundaje/oak/projects/neuro-variants/variant_position/credible/roussos_2024/variant_figures/roussos_2024.childhood.GLU/rs396977_profile_position.png",4,220,900)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-0.0253015398</v>
      </c>
      <c r="G1074" t="n">
        <v>0.4179894786270383</v>
      </c>
      <c r="H1074" t="n">
        <v>0.0197306880735993</v>
      </c>
      <c r="I1074" t="n">
        <v>0.1030606718322047</v>
      </c>
      <c r="J1074" t="n">
        <v>0.0049419473147413</v>
      </c>
      <c r="K1074" t="n">
        <v>0.6720858611157602</v>
      </c>
      <c r="L1074" t="b">
        <v>0</v>
      </c>
      <c r="M1074" t="b">
        <v>0</v>
      </c>
      <c r="N1074" t="inlineStr">
        <is>
          <t>ref</t>
        </is>
      </c>
      <c r="O1074" t="n">
        <v>100</v>
      </c>
      <c r="P1074" t="n">
        <v>0.0462</v>
      </c>
      <c r="Q1074" t="n">
        <v>90</v>
      </c>
      <c r="R1074" t="n">
        <v>0.09485</v>
      </c>
      <c r="S1074">
        <f>IMAGE("https://mitra.stanford.edu/kundaje/oak/projects/neuro-variants/variant_position/credible/roussos_2024/variant_figures/roussos_2024.childhood.GLU/rs430275_count_position.png",4,220,900)</f>
        <v/>
      </c>
      <c r="T1074">
        <f>IMAGE("https://mitra.stanford.edu/kundaje/oak/projects/neuro-variants/variant_position/credible/roussos_2024/variant_figures/roussos_2024.childhood.GLU/rs430275_profile_position.png",4,220,900)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0.06880775139999989</v>
      </c>
      <c r="G1075" t="n">
        <v>0.1017599037574061</v>
      </c>
      <c r="H1075" t="n">
        <v>0.0132155153157538</v>
      </c>
      <c r="I1075" t="n">
        <v>0.3544588423158119</v>
      </c>
      <c r="J1075" t="n">
        <v>0.0482481172798169</v>
      </c>
      <c r="K1075" t="n">
        <v>0.3575614879371249</v>
      </c>
      <c r="L1075" t="b">
        <v>0</v>
      </c>
      <c r="M1075" t="b">
        <v>0</v>
      </c>
      <c r="N1075" t="inlineStr">
        <is>
          <t>alt</t>
        </is>
      </c>
      <c r="O1075" t="n">
        <v>85</v>
      </c>
      <c r="P1075" t="n">
        <v>0.02611</v>
      </c>
      <c r="Q1075" t="n">
        <v>-100</v>
      </c>
      <c r="R1075" t="n">
        <v>0.11304</v>
      </c>
      <c r="S1075">
        <f>IMAGE("https://mitra.stanford.edu/kundaje/oak/projects/neuro-variants/variant_position/credible/roussos_2024/variant_figures/roussos_2024.childhood.GLU/rs338708_count_position.png",4,220,900)</f>
        <v/>
      </c>
      <c r="T1075">
        <f>IMAGE("https://mitra.stanford.edu/kundaje/oak/projects/neuro-variants/variant_position/credible/roussos_2024/variant_figures/roussos_2024.childhood.GLU/rs338708_profile_position.png",4,220,900)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-0.0916994766</v>
      </c>
      <c r="G1076" t="n">
        <v>0.0715314335919951</v>
      </c>
      <c r="H1076" t="n">
        <v>0.0377247570541666</v>
      </c>
      <c r="I1076" t="n">
        <v>0.0090419480444062</v>
      </c>
      <c r="J1076" t="n">
        <v>0.0916367045442838</v>
      </c>
      <c r="K1076" t="n">
        <v>0.2651399415484456</v>
      </c>
      <c r="L1076" t="b">
        <v>1</v>
      </c>
      <c r="M1076" t="b">
        <v>1</v>
      </c>
      <c r="N1076" t="inlineStr">
        <is>
          <t>ref</t>
        </is>
      </c>
      <c r="O1076" t="n">
        <v>100</v>
      </c>
      <c r="P1076" t="n">
        <v>0.012115</v>
      </c>
      <c r="Q1076" t="n">
        <v>55</v>
      </c>
      <c r="R1076" t="n">
        <v>0.06995</v>
      </c>
      <c r="S1076">
        <f>IMAGE("https://mitra.stanford.edu/kundaje/oak/projects/neuro-variants/variant_position/credible/roussos_2024/variant_figures/roussos_2024.childhood.GLU/rs447791_count_position.png",4,220,900)</f>
        <v/>
      </c>
      <c r="T1076">
        <f>IMAGE("https://mitra.stanford.edu/kundaje/oak/projects/neuro-variants/variant_position/credible/roussos_2024/variant_figures/roussos_2024.childhood.GLU/rs447791_profile_position.png",4,220,900)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0.005679292604</v>
      </c>
      <c r="G1077" t="n">
        <v>0.6743396073717846</v>
      </c>
      <c r="H1077" t="n">
        <v>0.0272474786941879</v>
      </c>
      <c r="I1077" t="n">
        <v>0.0307833406456266</v>
      </c>
      <c r="J1077" t="n">
        <v>0.06429064460630279</v>
      </c>
      <c r="K1077" t="n">
        <v>0.3139672515798623</v>
      </c>
      <c r="L1077" t="b">
        <v>0</v>
      </c>
      <c r="M1077" t="b">
        <v>0</v>
      </c>
      <c r="N1077" t="inlineStr">
        <is>
          <t>alt</t>
        </is>
      </c>
      <c r="O1077" t="n">
        <v>-80</v>
      </c>
      <c r="P1077" t="n">
        <v>0.004898</v>
      </c>
      <c r="Q1077" t="n">
        <v>-25</v>
      </c>
      <c r="R1077" t="n">
        <v>0.0839</v>
      </c>
      <c r="S1077">
        <f>IMAGE("https://mitra.stanford.edu/kundaje/oak/projects/neuro-variants/variant_position/credible/roussos_2024/variant_figures/roussos_2024.childhood.GLU/rs338704_count_position.png",4,220,900)</f>
        <v/>
      </c>
      <c r="T1077">
        <f>IMAGE("https://mitra.stanford.edu/kundaje/oak/projects/neuro-variants/variant_position/credible/roussos_2024/variant_figures/roussos_2024.childhood.GLU/rs338704_profile_position.png",4,220,900)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0.0363685512</v>
      </c>
      <c r="G1078" t="n">
        <v>0.2665823023078401</v>
      </c>
      <c r="H1078" t="n">
        <v>0.008805834844234899</v>
      </c>
      <c r="I1078" t="n">
        <v>0.8021335998897428</v>
      </c>
      <c r="J1078" t="n">
        <v>0.5563548888911782</v>
      </c>
      <c r="K1078" t="n">
        <v>0.0328877582483916</v>
      </c>
      <c r="L1078" t="b">
        <v>0</v>
      </c>
      <c r="M1078" t="b">
        <v>0</v>
      </c>
      <c r="N1078" t="inlineStr">
        <is>
          <t>alt</t>
        </is>
      </c>
      <c r="O1078" t="n">
        <v>-100</v>
      </c>
      <c r="P1078" t="n">
        <v>0.01575</v>
      </c>
      <c r="Q1078" t="n">
        <v>-100</v>
      </c>
      <c r="R1078" t="n">
        <v>0.2046</v>
      </c>
      <c r="S1078">
        <f>IMAGE("https://mitra.stanford.edu/kundaje/oak/projects/neuro-variants/variant_position/credible/roussos_2024/variant_figures/roussos_2024.childhood.GLU/rs9516115_count_position.png",4,220,900)</f>
        <v/>
      </c>
      <c r="T1078">
        <f>IMAGE("https://mitra.stanford.edu/kundaje/oak/projects/neuro-variants/variant_position/credible/roussos_2024/variant_figures/roussos_2024.childhood.GLU/rs9516115_profile_position.png",4,220,900)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-0.1883940052</v>
      </c>
      <c r="G1079" t="n">
        <v>0.0104341153621856</v>
      </c>
      <c r="H1079" t="n">
        <v>0.0244862764010532</v>
      </c>
      <c r="I1079" t="n">
        <v>0.0565167805431399</v>
      </c>
      <c r="J1079" t="n">
        <v>0.049396808390081</v>
      </c>
      <c r="K1079" t="n">
        <v>0.355122388888616</v>
      </c>
      <c r="L1079" t="b">
        <v>1</v>
      </c>
      <c r="M1079" t="b">
        <v>0</v>
      </c>
      <c r="N1079" t="inlineStr">
        <is>
          <t>ref</t>
        </is>
      </c>
      <c r="O1079" t="n">
        <v>-100</v>
      </c>
      <c r="P1079" t="n">
        <v>0.1753</v>
      </c>
      <c r="Q1079" t="n">
        <v>-90</v>
      </c>
      <c r="R1079" t="n">
        <v>0.1471</v>
      </c>
      <c r="S1079">
        <f>IMAGE("https://mitra.stanford.edu/kundaje/oak/projects/neuro-variants/variant_position/credible/roussos_2024/variant_figures/roussos_2024.childhood.GLU/rs9523786_count_position.png",4,220,900)</f>
        <v/>
      </c>
      <c r="T1079">
        <f>IMAGE("https://mitra.stanford.edu/kundaje/oak/projects/neuro-variants/variant_position/credible/roussos_2024/variant_figures/roussos_2024.childhood.GLU/rs9523786_profile_position.png",4,220,900)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-0.126176659</v>
      </c>
      <c r="G1080" t="n">
        <v>0.0263811909785248</v>
      </c>
      <c r="H1080" t="n">
        <v>0.0128206241702405</v>
      </c>
      <c r="I1080" t="n">
        <v>0.3858948687270668</v>
      </c>
      <c r="J1080" t="n">
        <v>0.0302996899049109</v>
      </c>
      <c r="K1080" t="n">
        <v>0.4513104586096087</v>
      </c>
      <c r="L1080" t="b">
        <v>0</v>
      </c>
      <c r="M1080" t="b">
        <v>0</v>
      </c>
      <c r="N1080" t="inlineStr">
        <is>
          <t>ref</t>
        </is>
      </c>
      <c r="O1080" t="n">
        <v>-90</v>
      </c>
      <c r="P1080" t="n">
        <v>0.008699999999999999</v>
      </c>
      <c r="Q1080" t="n">
        <v>-95</v>
      </c>
      <c r="R1080" t="n">
        <v>0.1553</v>
      </c>
      <c r="S1080">
        <f>IMAGE("https://mitra.stanford.edu/kundaje/oak/projects/neuro-variants/variant_position/credible/roussos_2024/variant_figures/roussos_2024.childhood.GLU/rs138907830_count_position.png",4,220,900)</f>
        <v/>
      </c>
      <c r="T1080">
        <f>IMAGE("https://mitra.stanford.edu/kundaje/oak/projects/neuro-variants/variant_position/credible/roussos_2024/variant_figures/roussos_2024.childhood.GLU/rs138907830_profile_position.png",4,220,900)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-0.0312661702</v>
      </c>
      <c r="G1081" t="n">
        <v>0.3284454598487882</v>
      </c>
      <c r="H1081" t="n">
        <v>0.02413621140397</v>
      </c>
      <c r="I1081" t="n">
        <v>0.0490022957012779</v>
      </c>
      <c r="J1081" t="n">
        <v>0.0733874540266001</v>
      </c>
      <c r="K1081" t="n">
        <v>0.2907985987583765</v>
      </c>
      <c r="L1081" t="b">
        <v>0</v>
      </c>
      <c r="M1081" t="b">
        <v>0</v>
      </c>
      <c r="N1081" t="inlineStr">
        <is>
          <t>ref</t>
        </is>
      </c>
      <c r="O1081" t="n">
        <v>-100</v>
      </c>
      <c r="P1081" t="n">
        <v>0.04135</v>
      </c>
      <c r="Q1081" t="n">
        <v>-60</v>
      </c>
      <c r="R1081" t="n">
        <v>0.10004</v>
      </c>
      <c r="S1081">
        <f>IMAGE("https://mitra.stanford.edu/kundaje/oak/projects/neuro-variants/variant_position/credible/roussos_2024/variant_figures/roussos_2024.childhood.GLU/rs11839843_count_position.png",4,220,900)</f>
        <v/>
      </c>
      <c r="T1081">
        <f>IMAGE("https://mitra.stanford.edu/kundaje/oak/projects/neuro-variants/variant_position/credible/roussos_2024/variant_figures/roussos_2024.childhood.GLU/rs11839843_profile_position.png",4,220,900)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-0.00994019388</v>
      </c>
      <c r="G1082" t="n">
        <v>0.6621322679898597</v>
      </c>
      <c r="H1082" t="n">
        <v>0.0355685572019336</v>
      </c>
      <c r="I1082" t="n">
        <v>0.0108439888463576</v>
      </c>
      <c r="J1082" t="n">
        <v>0.0005820721769499</v>
      </c>
      <c r="K1082" t="n">
        <v>0.8575540349717723</v>
      </c>
      <c r="L1082" t="b">
        <v>0</v>
      </c>
      <c r="M1082" t="b">
        <v>0</v>
      </c>
      <c r="N1082" t="inlineStr">
        <is>
          <t>ref</t>
        </is>
      </c>
      <c r="O1082" t="n">
        <v>-100</v>
      </c>
      <c r="P1082" t="n">
        <v>0.006798</v>
      </c>
      <c r="Q1082" t="n">
        <v>35</v>
      </c>
      <c r="R1082" t="n">
        <v>0.02692</v>
      </c>
      <c r="S1082">
        <f>IMAGE("https://mitra.stanford.edu/kundaje/oak/projects/neuro-variants/variant_position/credible/roussos_2024/variant_figures/roussos_2024.childhood.GLU/rs8000849_count_position.png",4,220,900)</f>
        <v/>
      </c>
      <c r="T1082">
        <f>IMAGE("https://mitra.stanford.edu/kundaje/oak/projects/neuro-variants/variant_position/credible/roussos_2024/variant_figures/roussos_2024.childhood.GLU/rs8000849_profile_position.png",4,220,900)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0.0167332082</v>
      </c>
      <c r="G1083" t="n">
        <v>0.373903770425994</v>
      </c>
      <c r="H1083" t="n">
        <v>0.0119207589246024</v>
      </c>
      <c r="I1083" t="n">
        <v>0.4625656406669365</v>
      </c>
      <c r="J1083" t="n">
        <v>0.0083962623754725</v>
      </c>
      <c r="K1083" t="n">
        <v>0.6106727498294735</v>
      </c>
      <c r="L1083" t="b">
        <v>0</v>
      </c>
      <c r="M1083" t="b">
        <v>0</v>
      </c>
      <c r="N1083" t="inlineStr">
        <is>
          <t>alt</t>
        </is>
      </c>
      <c r="O1083" t="n">
        <v>-35</v>
      </c>
      <c r="P1083" t="n">
        <v>0.003294</v>
      </c>
      <c r="Q1083" t="n">
        <v>-75</v>
      </c>
      <c r="R1083" t="n">
        <v>0.11743</v>
      </c>
      <c r="S1083">
        <f>IMAGE("https://mitra.stanford.edu/kundaje/oak/projects/neuro-variants/variant_position/credible/roussos_2024/variant_figures/roussos_2024.childhood.GLU/rs4773928_count_position.png",4,220,900)</f>
        <v/>
      </c>
      <c r="T1083">
        <f>IMAGE("https://mitra.stanford.edu/kundaje/oak/projects/neuro-variants/variant_position/credible/roussos_2024/variant_figures/roussos_2024.childhood.GLU/rs4773928_profile_position.png",4,220,900)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0.08568455899999999</v>
      </c>
      <c r="G1084" t="n">
        <v>0.0667873700408307</v>
      </c>
      <c r="H1084" t="n">
        <v>0.0145266734389999</v>
      </c>
      <c r="I1084" t="n">
        <v>0.2744105379419419</v>
      </c>
      <c r="J1084" t="n">
        <v>0.0358958245335695</v>
      </c>
      <c r="K1084" t="n">
        <v>0.4092655443222563</v>
      </c>
      <c r="L1084" t="b">
        <v>0</v>
      </c>
      <c r="M1084" t="b">
        <v>0</v>
      </c>
      <c r="N1084" t="inlineStr">
        <is>
          <t>alt</t>
        </is>
      </c>
      <c r="O1084" t="n">
        <v>-95</v>
      </c>
      <c r="P1084" t="n">
        <v>0.0083</v>
      </c>
      <c r="Q1084" t="n">
        <v>90</v>
      </c>
      <c r="R1084" t="n">
        <v>0.2183</v>
      </c>
      <c r="S1084">
        <f>IMAGE("https://mitra.stanford.edu/kundaje/oak/projects/neuro-variants/variant_position/credible/roussos_2024/variant_figures/roussos_2024.childhood.GLU/rs6492824_count_position.png",4,220,900)</f>
        <v/>
      </c>
      <c r="T1084">
        <f>IMAGE("https://mitra.stanford.edu/kundaje/oak/projects/neuro-variants/variant_position/credible/roussos_2024/variant_figures/roussos_2024.childhood.GLU/rs6492824_profile_position.png",4,220,900)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0.06680028239999999</v>
      </c>
      <c r="G1085" t="n">
        <v>0.102613861677796</v>
      </c>
      <c r="H1085" t="n">
        <v>0.0157324607022575</v>
      </c>
      <c r="I1085" t="n">
        <v>0.2282536489052655</v>
      </c>
      <c r="J1085" t="n">
        <v>0.0149216520547662</v>
      </c>
      <c r="K1085" t="n">
        <v>0.5438233102369344</v>
      </c>
      <c r="L1085" t="b">
        <v>0</v>
      </c>
      <c r="M1085" t="b">
        <v>0</v>
      </c>
      <c r="N1085" t="inlineStr">
        <is>
          <t>alt</t>
        </is>
      </c>
      <c r="O1085" t="n">
        <v>20</v>
      </c>
      <c r="P1085" t="n">
        <v>0.006042</v>
      </c>
      <c r="Q1085" t="n">
        <v>15</v>
      </c>
      <c r="R1085" t="n">
        <v>0.02222</v>
      </c>
      <c r="S1085">
        <f>IMAGE("https://mitra.stanford.edu/kundaje/oak/projects/neuro-variants/variant_position/credible/roussos_2024/variant_figures/roussos_2024.childhood.GLU/rs9561967_count_position.png",4,220,900)</f>
        <v/>
      </c>
      <c r="T1085">
        <f>IMAGE("https://mitra.stanford.edu/kundaje/oak/projects/neuro-variants/variant_position/credible/roussos_2024/variant_figures/roussos_2024.childhood.GLU/rs9561967_profile_position.png",4,220,900)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0.0143053936</v>
      </c>
      <c r="G1086" t="n">
        <v>0.5509008091572968</v>
      </c>
      <c r="H1086" t="n">
        <v>0.0158446968994419</v>
      </c>
      <c r="I1086" t="n">
        <v>0.2101599379880154</v>
      </c>
      <c r="J1086" t="n">
        <v>0.0139903365716463</v>
      </c>
      <c r="K1086" t="n">
        <v>0.5468231720606583</v>
      </c>
      <c r="L1086" t="b">
        <v>0</v>
      </c>
      <c r="M1086" t="b">
        <v>0</v>
      </c>
      <c r="N1086" t="inlineStr">
        <is>
          <t>alt</t>
        </is>
      </c>
      <c r="O1086" t="n">
        <v>-85</v>
      </c>
      <c r="P1086" t="n">
        <v>0.007849999999999999</v>
      </c>
      <c r="Q1086" t="n">
        <v>-60</v>
      </c>
      <c r="R1086" t="n">
        <v>0.0765</v>
      </c>
      <c r="S1086">
        <f>IMAGE("https://mitra.stanford.edu/kundaje/oak/projects/neuro-variants/variant_position/credible/roussos_2024/variant_figures/roussos_2024.childhood.GLU/rs11616658_count_position.png",4,220,900)</f>
        <v/>
      </c>
      <c r="T1086">
        <f>IMAGE("https://mitra.stanford.edu/kundaje/oak/projects/neuro-variants/variant_position/credible/roussos_2024/variant_figures/roussos_2024.childhood.GLU/rs11616658_profile_position.png",4,220,900)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0.00540105406</v>
      </c>
      <c r="G1087" t="n">
        <v>0.6439826000535676</v>
      </c>
      <c r="H1087" t="n">
        <v>0.0106594918550058</v>
      </c>
      <c r="I1087" t="n">
        <v>0.5782380627303048</v>
      </c>
      <c r="J1087" t="n">
        <v>0.0391214315884903</v>
      </c>
      <c r="K1087" t="n">
        <v>0.3904783750796698</v>
      </c>
      <c r="L1087" t="b">
        <v>0</v>
      </c>
      <c r="M1087" t="b">
        <v>0</v>
      </c>
      <c r="N1087" t="inlineStr">
        <is>
          <t>alt</t>
        </is>
      </c>
      <c r="O1087" t="n">
        <v>-95</v>
      </c>
      <c r="P1087" t="n">
        <v>0.005474</v>
      </c>
      <c r="Q1087" t="n">
        <v>100</v>
      </c>
      <c r="R1087" t="n">
        <v>0.001953</v>
      </c>
      <c r="S1087">
        <f>IMAGE("https://mitra.stanford.edu/kundaje/oak/projects/neuro-variants/variant_position/credible/roussos_2024/variant_figures/roussos_2024.childhood.GLU/rs9556505_count_position.png",4,220,900)</f>
        <v/>
      </c>
      <c r="T1087">
        <f>IMAGE("https://mitra.stanford.edu/kundaje/oak/projects/neuro-variants/variant_position/credible/roussos_2024/variant_figures/roussos_2024.childhood.GLU/rs9556505_profile_position.png",4,220,900)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0.1493039658</v>
      </c>
      <c r="G1088" t="n">
        <v>0.0170706382348367</v>
      </c>
      <c r="H1088" t="n">
        <v>0.020818056834667</v>
      </c>
      <c r="I1088" t="n">
        <v>0.0868408382108723</v>
      </c>
      <c r="J1088" t="n">
        <v>0.09398971844190079</v>
      </c>
      <c r="K1088" t="n">
        <v>0.2562599299175286</v>
      </c>
      <c r="L1088" t="b">
        <v>1</v>
      </c>
      <c r="M1088" t="b">
        <v>0</v>
      </c>
      <c r="N1088" t="inlineStr">
        <is>
          <t>alt</t>
        </is>
      </c>
      <c r="O1088" t="n">
        <v>50</v>
      </c>
      <c r="P1088" t="n">
        <v>0.0633</v>
      </c>
      <c r="Q1088" t="n">
        <v>15</v>
      </c>
      <c r="R1088" t="n">
        <v>0.0337</v>
      </c>
      <c r="S1088">
        <f>IMAGE("https://mitra.stanford.edu/kundaje/oak/projects/neuro-variants/variant_position/credible/roussos_2024/variant_figures/roussos_2024.childhood.GLU/rs1537030_count_position.png",4,220,900)</f>
        <v/>
      </c>
      <c r="T1088">
        <f>IMAGE("https://mitra.stanford.edu/kundaje/oak/projects/neuro-variants/variant_position/credible/roussos_2024/variant_figures/roussos_2024.childhood.GLU/rs1537030_profile_position.png",4,220,900)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-0.00153068402</v>
      </c>
      <c r="G1089" t="n">
        <v>0.7405265193368744</v>
      </c>
      <c r="H1089" t="n">
        <v>0.0217582559229204</v>
      </c>
      <c r="I1089" t="n">
        <v>0.07268910498143701</v>
      </c>
      <c r="J1089" t="n">
        <v>0.100701577261067</v>
      </c>
      <c r="K1089" t="n">
        <v>0.250202520618092</v>
      </c>
      <c r="L1089" t="b">
        <v>0</v>
      </c>
      <c r="M1089" t="b">
        <v>0</v>
      </c>
      <c r="N1089" t="inlineStr">
        <is>
          <t>ref</t>
        </is>
      </c>
      <c r="O1089" t="n">
        <v>85</v>
      </c>
      <c r="P1089" t="n">
        <v>0.01201</v>
      </c>
      <c r="Q1089" t="n">
        <v>100</v>
      </c>
      <c r="R1089" t="n">
        <v>0.07434</v>
      </c>
      <c r="S1089">
        <f>IMAGE("https://mitra.stanford.edu/kundaje/oak/projects/neuro-variants/variant_position/credible/roussos_2024/variant_figures/roussos_2024.childhood.GLU/rs35836619_count_position.png",4,220,900)</f>
        <v/>
      </c>
      <c r="T1089">
        <f>IMAGE("https://mitra.stanford.edu/kundaje/oak/projects/neuro-variants/variant_position/credible/roussos_2024/variant_figures/roussos_2024.childhood.GLU/rs35836619_profile_position.png",4,220,900)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-0.021591273</v>
      </c>
      <c r="G1090" t="n">
        <v>0.4481515197345248</v>
      </c>
      <c r="H1090" t="n">
        <v>0.0130815768743186</v>
      </c>
      <c r="I1090" t="n">
        <v>0.3688519706203997</v>
      </c>
      <c r="J1090" t="n">
        <v>0.5069446876899462</v>
      </c>
      <c r="K1090" t="n">
        <v>0.0409681965684511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0.0389</v>
      </c>
      <c r="Q1090" t="n">
        <v>-100</v>
      </c>
      <c r="R1090" t="n">
        <v>0.05246</v>
      </c>
      <c r="S1090">
        <f>IMAGE("https://mitra.stanford.edu/kundaje/oak/projects/neuro-variants/variant_position/credible/roussos_2024/variant_figures/roussos_2024.childhood.GLU/rs9556506_count_position.png",4,220,900)</f>
        <v/>
      </c>
      <c r="T1090">
        <f>IMAGE("https://mitra.stanford.edu/kundaje/oak/projects/neuro-variants/variant_position/credible/roussos_2024/variant_figures/roussos_2024.childhood.GLU/rs9556506_profile_position.png",4,220,900)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-0.024780033</v>
      </c>
      <c r="G1091" t="n">
        <v>0.2460767850089247</v>
      </c>
      <c r="H1091" t="n">
        <v>0.0149797162865624</v>
      </c>
      <c r="I1091" t="n">
        <v>0.2509721248266843</v>
      </c>
      <c r="J1091" t="n">
        <v>0.4728434998506186</v>
      </c>
      <c r="K1091" t="n">
        <v>0.0472134823416443</v>
      </c>
      <c r="L1091" t="b">
        <v>0</v>
      </c>
      <c r="M1091" t="b">
        <v>0</v>
      </c>
      <c r="N1091" t="inlineStr">
        <is>
          <t>ref</t>
        </is>
      </c>
      <c r="O1091" t="n">
        <v>100</v>
      </c>
      <c r="P1091" t="n">
        <v>0.002224</v>
      </c>
      <c r="Q1091" t="n">
        <v>-45</v>
      </c>
      <c r="R1091" t="n">
        <v>0.03003</v>
      </c>
      <c r="S1091">
        <f>IMAGE("https://mitra.stanford.edu/kundaje/oak/projects/neuro-variants/variant_position/credible/roussos_2024/variant_figures/roussos_2024.childhood.GLU/rs9556508_count_position.png",4,220,900)</f>
        <v/>
      </c>
      <c r="T1091">
        <f>IMAGE("https://mitra.stanford.edu/kundaje/oak/projects/neuro-variants/variant_position/credible/roussos_2024/variant_figures/roussos_2024.childhood.GLU/rs9556508_profile_position.png",4,220,900)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0.0315905388</v>
      </c>
      <c r="G1092" t="n">
        <v>0.3216280047086413</v>
      </c>
      <c r="H1092" t="n">
        <v>0.0381989445262178</v>
      </c>
      <c r="I1092" t="n">
        <v>0.0079584036238762</v>
      </c>
      <c r="J1092" t="n">
        <v>0.0594743836731329</v>
      </c>
      <c r="K1092" t="n">
        <v>0.3222889369129843</v>
      </c>
      <c r="L1092" t="b">
        <v>1</v>
      </c>
      <c r="M1092" t="b">
        <v>1</v>
      </c>
      <c r="N1092" t="inlineStr">
        <is>
          <t>alt</t>
        </is>
      </c>
      <c r="O1092" t="n">
        <v>-100</v>
      </c>
      <c r="P1092" t="n">
        <v>0.00312</v>
      </c>
      <c r="Q1092" t="n">
        <v>-90</v>
      </c>
      <c r="R1092" t="n">
        <v>0.11597</v>
      </c>
      <c r="S1092">
        <f>IMAGE("https://mitra.stanford.edu/kundaje/oak/projects/neuro-variants/variant_position/credible/roussos_2024/variant_figures/roussos_2024.childhood.GLU/rs1411557_count_position.png",4,220,900)</f>
        <v/>
      </c>
      <c r="T1092">
        <f>IMAGE("https://mitra.stanford.edu/kundaje/oak/projects/neuro-variants/variant_position/credible/roussos_2024/variant_figures/roussos_2024.childhood.GLU/rs1411557_profile_position.png",4,220,900)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0.00536434358</v>
      </c>
      <c r="G1093" t="n">
        <v>0.7815056751464921</v>
      </c>
      <c r="H1093" t="n">
        <v>0.0260954005523487</v>
      </c>
      <c r="I1093" t="n">
        <v>0.0367818939676845</v>
      </c>
      <c r="J1093" t="n">
        <v>0.0003842706584111</v>
      </c>
      <c r="K1093" t="n">
        <v>0.8842518935120465</v>
      </c>
      <c r="L1093" t="b">
        <v>0</v>
      </c>
      <c r="M1093" t="b">
        <v>0</v>
      </c>
      <c r="N1093" t="inlineStr">
        <is>
          <t>alt</t>
        </is>
      </c>
      <c r="O1093" t="n">
        <v>85</v>
      </c>
      <c r="P1093" t="n">
        <v>0.003601</v>
      </c>
      <c r="Q1093" t="n">
        <v>100</v>
      </c>
      <c r="R1093" t="n">
        <v>0.07335999999999999</v>
      </c>
      <c r="S1093">
        <f>IMAGE("https://mitra.stanford.edu/kundaje/oak/projects/neuro-variants/variant_position/credible/roussos_2024/variant_figures/roussos_2024.childhood.GLU/rs11619333_count_position.png",4,220,900)</f>
        <v/>
      </c>
      <c r="T1093">
        <f>IMAGE("https://mitra.stanford.edu/kundaje/oak/projects/neuro-variants/variant_position/credible/roussos_2024/variant_figures/roussos_2024.childhood.GLU/rs11619333_profile_position.png",4,220,900)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0.018746298652</v>
      </c>
      <c r="G1094" t="n">
        <v>0.4831080148054037</v>
      </c>
      <c r="H1094" t="n">
        <v>0.0108779791583645</v>
      </c>
      <c r="I1094" t="n">
        <v>0.5609769535501172</v>
      </c>
      <c r="J1094" t="n">
        <v>0.0021243058918066</v>
      </c>
      <c r="K1094" t="n">
        <v>0.7633249181433308</v>
      </c>
      <c r="L1094" t="b">
        <v>0</v>
      </c>
      <c r="M1094" t="b">
        <v>0</v>
      </c>
      <c r="N1094" t="inlineStr">
        <is>
          <t>alt</t>
        </is>
      </c>
      <c r="O1094" t="n">
        <v>100</v>
      </c>
      <c r="P1094" t="n">
        <v>0.003662</v>
      </c>
      <c r="Q1094" t="n">
        <v>-35</v>
      </c>
      <c r="R1094" t="n">
        <v>0.003174</v>
      </c>
      <c r="S1094">
        <f>IMAGE("https://mitra.stanford.edu/kundaje/oak/projects/neuro-variants/variant_position/credible/roussos_2024/variant_figures/roussos_2024.childhood.GLU/rs7324957_count_position.png",4,220,900)</f>
        <v/>
      </c>
      <c r="T1094">
        <f>IMAGE("https://mitra.stanford.edu/kundaje/oak/projects/neuro-variants/variant_position/credible/roussos_2024/variant_figures/roussos_2024.childhood.GLU/rs7324957_profile_position.png",4,220,900)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0.028100666</v>
      </c>
      <c r="G1095" t="n">
        <v>0.3469640495757466</v>
      </c>
      <c r="H1095" t="n">
        <v>0.0136389592303463</v>
      </c>
      <c r="I1095" t="n">
        <v>0.3338487348059571</v>
      </c>
      <c r="J1095" t="n">
        <v>0.252421523277736</v>
      </c>
      <c r="K1095" t="n">
        <v>0.1189616822017129</v>
      </c>
      <c r="L1095" t="b">
        <v>0</v>
      </c>
      <c r="M1095" t="b">
        <v>0</v>
      </c>
      <c r="N1095" t="inlineStr">
        <is>
          <t>alt</t>
        </is>
      </c>
      <c r="O1095" t="n">
        <v>100</v>
      </c>
      <c r="P1095" t="n">
        <v>0.01596</v>
      </c>
      <c r="Q1095" t="n">
        <v>5</v>
      </c>
      <c r="R1095" t="n">
        <v>0.01074</v>
      </c>
      <c r="S1095">
        <f>IMAGE("https://mitra.stanford.edu/kundaje/oak/projects/neuro-variants/variant_position/credible/roussos_2024/variant_figures/roussos_2024.childhood.GLU/rs9562005_count_position.png",4,220,900)</f>
        <v/>
      </c>
      <c r="T1095">
        <f>IMAGE("https://mitra.stanford.edu/kundaje/oak/projects/neuro-variants/variant_position/credible/roussos_2024/variant_figures/roussos_2024.childhood.GLU/rs9562005_profile_position.png",4,220,900)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0.1342587268</v>
      </c>
      <c r="G1096" t="n">
        <v>0.0233478070581344</v>
      </c>
      <c r="H1096" t="n">
        <v>0.0298963905117293</v>
      </c>
      <c r="I1096" t="n">
        <v>0.0221921307869217</v>
      </c>
      <c r="J1096" t="n">
        <v>0.0152719255771785</v>
      </c>
      <c r="K1096" t="n">
        <v>0.5330017148488265</v>
      </c>
      <c r="L1096" t="b">
        <v>0</v>
      </c>
      <c r="M1096" t="b">
        <v>0</v>
      </c>
      <c r="N1096" t="inlineStr">
        <is>
          <t>alt</t>
        </is>
      </c>
      <c r="O1096" t="n">
        <v>55</v>
      </c>
      <c r="P1096" t="n">
        <v>0.005325</v>
      </c>
      <c r="Q1096" t="n">
        <v>100</v>
      </c>
      <c r="R1096" t="n">
        <v>0.2224</v>
      </c>
      <c r="S1096">
        <f>IMAGE("https://mitra.stanford.edu/kundaje/oak/projects/neuro-variants/variant_position/credible/roussos_2024/variant_figures/roussos_2024.childhood.GLU/rs117227967_count_position.png",4,220,900)</f>
        <v/>
      </c>
      <c r="T1096">
        <f>IMAGE("https://mitra.stanford.edu/kundaje/oak/projects/neuro-variants/variant_position/credible/roussos_2024/variant_figures/roussos_2024.childhood.GLU/rs117227967_profile_position.png",4,220,900)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0.0221171569</v>
      </c>
      <c r="G1097" t="n">
        <v>0.4140102642098723</v>
      </c>
      <c r="H1097" t="n">
        <v>0.009667239493432501</v>
      </c>
      <c r="I1097" t="n">
        <v>0.6813556798816706</v>
      </c>
      <c r="J1097" t="n">
        <v>0.1083437213471107</v>
      </c>
      <c r="K1097" t="n">
        <v>0.2347745187941692</v>
      </c>
      <c r="L1097" t="b">
        <v>0</v>
      </c>
      <c r="M1097" t="b">
        <v>0</v>
      </c>
      <c r="N1097" t="inlineStr">
        <is>
          <t>alt</t>
        </is>
      </c>
      <c r="O1097" t="n">
        <v>60</v>
      </c>
      <c r="P1097" t="n">
        <v>0.008619999999999999</v>
      </c>
      <c r="Q1097" t="n">
        <v>-100</v>
      </c>
      <c r="R1097" t="n">
        <v>0.1449</v>
      </c>
      <c r="S1097">
        <f>IMAGE("https://mitra.stanford.edu/kundaje/oak/projects/neuro-variants/variant_position/credible/roussos_2024/variant_figures/roussos_2024.childhood.GLU/rs2026819_count_position.png",4,220,900)</f>
        <v/>
      </c>
      <c r="T1097">
        <f>IMAGE("https://mitra.stanford.edu/kundaje/oak/projects/neuro-variants/variant_position/credible/roussos_2024/variant_figures/roussos_2024.childhood.GLU/rs2026819_profile_position.png",4,220,900)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0.0167846024</v>
      </c>
      <c r="G1098" t="n">
        <v>0.4992064128303538</v>
      </c>
      <c r="H1098" t="n">
        <v>0.0338610224996834</v>
      </c>
      <c r="I1098" t="n">
        <v>0.013059910470553</v>
      </c>
      <c r="J1098" t="n">
        <v>0.009721120463185099</v>
      </c>
      <c r="K1098" t="n">
        <v>0.5923734504918786</v>
      </c>
      <c r="L1098" t="b">
        <v>0</v>
      </c>
      <c r="M1098" t="b">
        <v>0</v>
      </c>
      <c r="N1098" t="inlineStr">
        <is>
          <t>alt</t>
        </is>
      </c>
      <c r="O1098" t="n">
        <v>-85</v>
      </c>
      <c r="P1098" t="n">
        <v>0.00894</v>
      </c>
      <c r="Q1098" t="n">
        <v>75</v>
      </c>
      <c r="R1098" t="n">
        <v>0.11975</v>
      </c>
      <c r="S1098">
        <f>IMAGE("https://mitra.stanford.edu/kundaje/oak/projects/neuro-variants/variant_position/credible/roussos_2024/variant_figures/roussos_2024.childhood.GLU/rs3782990_count_position.png",4,220,900)</f>
        <v/>
      </c>
      <c r="T1098">
        <f>IMAGE("https://mitra.stanford.edu/kundaje/oak/projects/neuro-variants/variant_position/credible/roussos_2024/variant_figures/roussos_2024.childhood.GLU/rs3782990_profile_position.png",4,220,900)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-0.0142252716</v>
      </c>
      <c r="G1099" t="n">
        <v>0.417448973944001</v>
      </c>
      <c r="H1099" t="n">
        <v>0.0336029484282664</v>
      </c>
      <c r="I1099" t="n">
        <v>0.0151554611966525</v>
      </c>
      <c r="J1099" t="n">
        <v>0.9464462690718782</v>
      </c>
      <c r="K1099" t="n">
        <v>0.0004841273775871</v>
      </c>
      <c r="L1099" t="b">
        <v>1</v>
      </c>
      <c r="M1099" t="b">
        <v>0</v>
      </c>
      <c r="N1099" t="inlineStr">
        <is>
          <t>ref</t>
        </is>
      </c>
      <c r="O1099" t="n">
        <v>-30</v>
      </c>
      <c r="P1099" t="n">
        <v>0.00598</v>
      </c>
      <c r="Q1099" t="n">
        <v>-25</v>
      </c>
      <c r="R1099" t="n">
        <v>0.02344</v>
      </c>
      <c r="S1099">
        <f>IMAGE("https://mitra.stanford.edu/kundaje/oak/projects/neuro-variants/variant_position/credible/roussos_2024/variant_figures/roussos_2024.childhood.GLU/rs2277419_count_position.png",4,220,900)</f>
        <v/>
      </c>
      <c r="T1099">
        <f>IMAGE("https://mitra.stanford.edu/kundaje/oak/projects/neuro-variants/variant_position/credible/roussos_2024/variant_figures/roussos_2024.childhood.GLU/rs2277419_profile_position.png",4,220,900)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-0.0311129107999999</v>
      </c>
      <c r="G1100" t="n">
        <v>0.3365875975129662</v>
      </c>
      <c r="H1100" t="n">
        <v>0.0128922213417002</v>
      </c>
      <c r="I1100" t="n">
        <v>0.3790057393705903</v>
      </c>
      <c r="J1100" t="n">
        <v>0.033383127118382</v>
      </c>
      <c r="K1100" t="n">
        <v>0.4142674158379516</v>
      </c>
      <c r="L1100" t="b">
        <v>0</v>
      </c>
      <c r="M1100" t="b">
        <v>0</v>
      </c>
      <c r="N1100" t="inlineStr">
        <is>
          <t>ref</t>
        </is>
      </c>
      <c r="O1100" t="n">
        <v>100</v>
      </c>
      <c r="P1100" t="n">
        <v>0.003418</v>
      </c>
      <c r="Q1100" t="n">
        <v>70</v>
      </c>
      <c r="R1100" t="n">
        <v>0.2032</v>
      </c>
      <c r="S1100">
        <f>IMAGE("https://mitra.stanford.edu/kundaje/oak/projects/neuro-variants/variant_position/credible/roussos_2024/variant_figures/roussos_2024.childhood.GLU/rs1854173_count_position.png",4,220,900)</f>
        <v/>
      </c>
      <c r="T1100">
        <f>IMAGE("https://mitra.stanford.edu/kundaje/oak/projects/neuro-variants/variant_position/credible/roussos_2024/variant_figures/roussos_2024.childhood.GLU/rs1854173_profile_position.png",4,220,900)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0.012071345292</v>
      </c>
      <c r="G1101" t="n">
        <v>0.6039328037123523</v>
      </c>
      <c r="H1101" t="n">
        <v>0.0117633754468116</v>
      </c>
      <c r="I1101" t="n">
        <v>0.4726890357167171</v>
      </c>
      <c r="J1101" t="n">
        <v>0.5011888695437172</v>
      </c>
      <c r="K1101" t="n">
        <v>0.0416724138580551</v>
      </c>
      <c r="L1101" t="b">
        <v>0</v>
      </c>
      <c r="M1101" t="b">
        <v>0</v>
      </c>
      <c r="N1101" t="inlineStr">
        <is>
          <t>alt</t>
        </is>
      </c>
      <c r="O1101" t="n">
        <v>-95</v>
      </c>
      <c r="P1101" t="n">
        <v>0.009575</v>
      </c>
      <c r="Q1101" t="n">
        <v>100</v>
      </c>
      <c r="R1101" t="n">
        <v>0.07764</v>
      </c>
      <c r="S1101">
        <f>IMAGE("https://mitra.stanford.edu/kundaje/oak/projects/neuro-variants/variant_position/credible/roussos_2024/variant_figures/roussos_2024.childhood.GLU/rs11618108_count_position.png",4,220,900)</f>
        <v/>
      </c>
      <c r="T1101">
        <f>IMAGE("https://mitra.stanford.edu/kundaje/oak/projects/neuro-variants/variant_position/credible/roussos_2024/variant_figures/roussos_2024.childhood.GLU/rs11618108_profile_position.png",4,220,900)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-0.0150509994</v>
      </c>
      <c r="G1102" t="n">
        <v>0.5554863683608452</v>
      </c>
      <c r="H1102" t="n">
        <v>0.0328836774787366</v>
      </c>
      <c r="I1102" t="n">
        <v>0.0144059526593057</v>
      </c>
      <c r="J1102" t="n">
        <v>0.0316966631295908</v>
      </c>
      <c r="K1102" t="n">
        <v>0.4246723844235366</v>
      </c>
      <c r="L1102" t="b">
        <v>1</v>
      </c>
      <c r="M1102" t="b">
        <v>0</v>
      </c>
      <c r="N1102" t="inlineStr">
        <is>
          <t>ref</t>
        </is>
      </c>
      <c r="O1102" t="n">
        <v>40</v>
      </c>
      <c r="P1102" t="n">
        <v>0.00894</v>
      </c>
      <c r="Q1102" t="n">
        <v>-100</v>
      </c>
      <c r="R1102" t="n">
        <v>0.1995</v>
      </c>
      <c r="S1102">
        <f>IMAGE("https://mitra.stanford.edu/kundaje/oak/projects/neuro-variants/variant_position/credible/roussos_2024/variant_figures/roussos_2024.childhood.GLU/rs200086486_count_position.png",4,220,900)</f>
        <v/>
      </c>
      <c r="T1102">
        <f>IMAGE("https://mitra.stanford.edu/kundaje/oak/projects/neuro-variants/variant_position/credible/roussos_2024/variant_figures/roussos_2024.childhood.GLU/rs200086486_profile_position.png",4,220,900)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0.1093509767999999</v>
      </c>
      <c r="G1103" t="n">
        <v>0.0402209327646653</v>
      </c>
      <c r="H1103" t="n">
        <v>0.0185565578475834</v>
      </c>
      <c r="I1103" t="n">
        <v>0.1284804126508395</v>
      </c>
      <c r="J1103" t="n">
        <v>0.0461959265249775</v>
      </c>
      <c r="K1103" t="n">
        <v>0.3770092858344634</v>
      </c>
      <c r="L1103" t="b">
        <v>0</v>
      </c>
      <c r="M1103" t="b">
        <v>0</v>
      </c>
      <c r="N1103" t="inlineStr">
        <is>
          <t>alt</t>
        </is>
      </c>
      <c r="O1103" t="n">
        <v>80</v>
      </c>
      <c r="P1103" t="n">
        <v>0.004494</v>
      </c>
      <c r="Q1103" t="n">
        <v>-25</v>
      </c>
      <c r="R1103" t="n">
        <v>0.01892</v>
      </c>
      <c r="S1103">
        <f>IMAGE("https://mitra.stanford.edu/kundaje/oak/projects/neuro-variants/variant_position/credible/roussos_2024/variant_figures/roussos_2024.childhood.GLU/rs493423_count_position.png",4,220,900)</f>
        <v/>
      </c>
      <c r="T1103">
        <f>IMAGE("https://mitra.stanford.edu/kundaje/oak/projects/neuro-variants/variant_position/credible/roussos_2024/variant_figures/roussos_2024.childhood.GLU/rs493423_profile_position.png",4,220,900)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0.0650128014</v>
      </c>
      <c r="G1104" t="n">
        <v>0.1327075405484186</v>
      </c>
      <c r="H1104" t="n">
        <v>0.0112258222944837</v>
      </c>
      <c r="I1104" t="n">
        <v>0.5198434502893448</v>
      </c>
      <c r="J1104" t="n">
        <v>0.1048172911494122</v>
      </c>
      <c r="K1104" t="n">
        <v>0.2462061137067874</v>
      </c>
      <c r="L1104" t="b">
        <v>0</v>
      </c>
      <c r="M1104" t="b">
        <v>0</v>
      </c>
      <c r="N1104" t="inlineStr">
        <is>
          <t>alt</t>
        </is>
      </c>
      <c r="O1104" t="n">
        <v>0</v>
      </c>
      <c r="P1104" t="n">
        <v>0</v>
      </c>
      <c r="Q1104" t="n">
        <v>100</v>
      </c>
      <c r="R1104" t="n">
        <v>0.0796</v>
      </c>
      <c r="S1104">
        <f>IMAGE("https://mitra.stanford.edu/kundaje/oak/projects/neuro-variants/variant_position/credible/roussos_2024/variant_figures/roussos_2024.childhood.GLU/rs504340_count_position.png",4,220,900)</f>
        <v/>
      </c>
      <c r="T1104">
        <f>IMAGE("https://mitra.stanford.edu/kundaje/oak/projects/neuro-variants/variant_position/credible/roussos_2024/variant_figures/roussos_2024.childhood.GLU/rs504340_profile_position.png",4,220,900)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0.0008379249818</v>
      </c>
      <c r="G1105" t="n">
        <v>0.7836483582832723</v>
      </c>
      <c r="H1105" t="n">
        <v>0.0213464006168124</v>
      </c>
      <c r="I1105" t="n">
        <v>0.0775418129181529</v>
      </c>
      <c r="J1105" t="n">
        <v>0.034997475970206</v>
      </c>
      <c r="K1105" t="n">
        <v>0.4060054056767343</v>
      </c>
      <c r="L1105" t="b">
        <v>0</v>
      </c>
      <c r="M1105" t="b">
        <v>0</v>
      </c>
      <c r="N1105" t="inlineStr">
        <is>
          <t>alt</t>
        </is>
      </c>
      <c r="O1105" t="n">
        <v>-40</v>
      </c>
      <c r="P1105" t="n">
        <v>0.00682</v>
      </c>
      <c r="Q1105" t="n">
        <v>-80</v>
      </c>
      <c r="R1105" t="n">
        <v>0.06018</v>
      </c>
      <c r="S1105">
        <f>IMAGE("https://mitra.stanford.edu/kundaje/oak/projects/neuro-variants/variant_position/credible/roussos_2024/variant_figures/roussos_2024.childhood.GLU/rs1117183_count_position.png",4,220,900)</f>
        <v/>
      </c>
      <c r="T1105">
        <f>IMAGE("https://mitra.stanford.edu/kundaje/oak/projects/neuro-variants/variant_position/credible/roussos_2024/variant_figures/roussos_2024.childhood.GLU/rs1117183_profile_position.png",4,220,900)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-0.00458505925</v>
      </c>
      <c r="G1106" t="n">
        <v>0.843414635879471</v>
      </c>
      <c r="H1106" t="n">
        <v>0.0371894910349863</v>
      </c>
      <c r="I1106" t="n">
        <v>0.008972311384467999</v>
      </c>
      <c r="J1106" t="n">
        <v>0.3104927524287347</v>
      </c>
      <c r="K1106" t="n">
        <v>0.09390931183769601</v>
      </c>
      <c r="L1106" t="b">
        <v>1</v>
      </c>
      <c r="M1106" t="b">
        <v>1</v>
      </c>
      <c r="N1106" t="inlineStr">
        <is>
          <t>ref</t>
        </is>
      </c>
      <c r="O1106" t="n">
        <v>-80</v>
      </c>
      <c r="P1106" t="n">
        <v>0.04443</v>
      </c>
      <c r="Q1106" t="n">
        <v>-100</v>
      </c>
      <c r="R1106" t="n">
        <v>0.2354</v>
      </c>
      <c r="S1106">
        <f>IMAGE("https://mitra.stanford.edu/kundaje/oak/projects/neuro-variants/variant_position/credible/roussos_2024/variant_figures/roussos_2024.childhood.GLU/rs640357_count_position.png",4,220,900)</f>
        <v/>
      </c>
      <c r="T1106">
        <f>IMAGE("https://mitra.stanford.edu/kundaje/oak/projects/neuro-variants/variant_position/credible/roussos_2024/variant_figures/roussos_2024.childhood.GLU/rs640357_profile_position.png",4,220,900)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0.1257161399999999</v>
      </c>
      <c r="G1107" t="n">
        <v>0.0319420599429636</v>
      </c>
      <c r="H1107" t="n">
        <v>0.0159907968626372</v>
      </c>
      <c r="I1107" t="n">
        <v>0.2285451591252983</v>
      </c>
      <c r="J1107" t="n">
        <v>0.0307251692130177</v>
      </c>
      <c r="K1107" t="n">
        <v>0.4248382124390682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0.0542</v>
      </c>
      <c r="Q1107" t="n">
        <v>-30</v>
      </c>
      <c r="R1107" t="n">
        <v>0.05225</v>
      </c>
      <c r="S1107">
        <f>IMAGE("https://mitra.stanford.edu/kundaje/oak/projects/neuro-variants/variant_position/credible/roussos_2024/variant_figures/roussos_2024.childhood.GLU/rs16951630_count_position.png",4,220,900)</f>
        <v/>
      </c>
      <c r="T1107">
        <f>IMAGE("https://mitra.stanford.edu/kundaje/oak/projects/neuro-variants/variant_position/credible/roussos_2024/variant_figures/roussos_2024.childhood.GLU/rs16951630_profile_position.png",4,220,900)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-0.0819210734</v>
      </c>
      <c r="G1108" t="n">
        <v>0.0822489584785914</v>
      </c>
      <c r="H1108" t="n">
        <v>0.0138581389541793</v>
      </c>
      <c r="I1108" t="n">
        <v>0.3326108368075043</v>
      </c>
      <c r="J1108" t="n">
        <v>0.0173014515746854</v>
      </c>
      <c r="K1108" t="n">
        <v>0.5140922240900957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0.01677</v>
      </c>
      <c r="Q1108" t="n">
        <v>-70</v>
      </c>
      <c r="R1108" t="n">
        <v>0.05884</v>
      </c>
      <c r="S1108">
        <f>IMAGE("https://mitra.stanford.edu/kundaje/oak/projects/neuro-variants/variant_position/credible/roussos_2024/variant_figures/roussos_2024.childhood.GLU/rs9590371_count_position.png",4,220,900)</f>
        <v/>
      </c>
      <c r="T1108">
        <f>IMAGE("https://mitra.stanford.edu/kundaje/oak/projects/neuro-variants/variant_position/credible/roussos_2024/variant_figures/roussos_2024.childhood.GLU/rs9590371_profile_position.png",4,220,900)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0.001515009734</v>
      </c>
      <c r="G1109" t="n">
        <v>0.8678964762401762</v>
      </c>
      <c r="H1109" t="n">
        <v>0.0119873585683979</v>
      </c>
      <c r="I1109" t="n">
        <v>0.4584619462295216</v>
      </c>
      <c r="J1109" t="n">
        <v>0.0003193670351406</v>
      </c>
      <c r="K1109" t="n">
        <v>0.8915943866394882</v>
      </c>
      <c r="L1109" t="b">
        <v>0</v>
      </c>
      <c r="M1109" t="b">
        <v>0</v>
      </c>
      <c r="N1109" t="inlineStr">
        <is>
          <t>alt</t>
        </is>
      </c>
      <c r="O1109" t="n">
        <v>-100</v>
      </c>
      <c r="P1109" t="n">
        <v>0.01149</v>
      </c>
      <c r="Q1109" t="n">
        <v>-100</v>
      </c>
      <c r="R1109" t="n">
        <v>0.03067</v>
      </c>
      <c r="S1109">
        <f>IMAGE("https://mitra.stanford.edu/kundaje/oak/projects/neuro-variants/variant_position/credible/roussos_2024/variant_figures/roussos_2024.childhood.GLU/rs1927808_count_position.png",4,220,900)</f>
        <v/>
      </c>
      <c r="T1109">
        <f>IMAGE("https://mitra.stanford.edu/kundaje/oak/projects/neuro-variants/variant_position/credible/roussos_2024/variant_figures/roussos_2024.childhood.GLU/rs1927808_profile_position.png",4,220,900)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-0.0658813104</v>
      </c>
      <c r="G1110" t="n">
        <v>0.0974077609196289</v>
      </c>
      <c r="H1110" t="n">
        <v>0.0124119470856594</v>
      </c>
      <c r="I1110" t="n">
        <v>0.4274519149855434</v>
      </c>
      <c r="J1110" t="n">
        <v>0.0372670423521896</v>
      </c>
      <c r="K1110" t="n">
        <v>0.3981111737803282</v>
      </c>
      <c r="L1110" t="b">
        <v>0</v>
      </c>
      <c r="M1110" t="b">
        <v>0</v>
      </c>
      <c r="N1110" t="inlineStr">
        <is>
          <t>ref</t>
        </is>
      </c>
      <c r="O1110" t="n">
        <v>15</v>
      </c>
      <c r="P1110" t="n">
        <v>0.002789</v>
      </c>
      <c r="Q1110" t="n">
        <v>-100</v>
      </c>
      <c r="R1110" t="n">
        <v>0.02881</v>
      </c>
      <c r="S1110">
        <f>IMAGE("https://mitra.stanford.edu/kundaje/oak/projects/neuro-variants/variant_position/credible/roussos_2024/variant_figures/roussos_2024.childhood.GLU/rs9516643_count_position.png",4,220,900)</f>
        <v/>
      </c>
      <c r="T1110">
        <f>IMAGE("https://mitra.stanford.edu/kundaje/oak/projects/neuro-variants/variant_position/credible/roussos_2024/variant_figures/roussos_2024.childhood.GLU/rs9516643_profile_position.png",4,220,900)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-0.008683896559999901</v>
      </c>
      <c r="G1111" t="n">
        <v>0.472164997332768</v>
      </c>
      <c r="H1111" t="n">
        <v>0.008371642279957301</v>
      </c>
      <c r="I1111" t="n">
        <v>0.8198126840284851</v>
      </c>
      <c r="J1111" t="n">
        <v>0.0215170964385424</v>
      </c>
      <c r="K1111" t="n">
        <v>0.4826210232846187</v>
      </c>
      <c r="L1111" t="b">
        <v>0</v>
      </c>
      <c r="M1111" t="b">
        <v>0</v>
      </c>
      <c r="N1111" t="inlineStr">
        <is>
          <t>ref</t>
        </is>
      </c>
      <c r="O1111" t="n">
        <v>100</v>
      </c>
      <c r="P1111" t="n">
        <v>0.007362</v>
      </c>
      <c r="Q1111" t="n">
        <v>-70</v>
      </c>
      <c r="R1111" t="n">
        <v>0.07324</v>
      </c>
      <c r="S1111">
        <f>IMAGE("https://mitra.stanford.edu/kundaje/oak/projects/neuro-variants/variant_position/credible/roussos_2024/variant_figures/roussos_2024.childhood.GLU/rs9584347_count_position.png",4,220,900)</f>
        <v/>
      </c>
      <c r="T1111">
        <f>IMAGE("https://mitra.stanford.edu/kundaje/oak/projects/neuro-variants/variant_position/credible/roussos_2024/variant_figures/roussos_2024.childhood.GLU/rs9584347_profile_position.png",4,220,900)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0.001347903292</v>
      </c>
      <c r="G1112" t="n">
        <v>0.877734411717654</v>
      </c>
      <c r="H1112" t="n">
        <v>0.0168329633956438</v>
      </c>
      <c r="I1112" t="n">
        <v>0.1720008568069052</v>
      </c>
      <c r="J1112" t="n">
        <v>0.009556285864402899</v>
      </c>
      <c r="K1112" t="n">
        <v>0.5949518763185564</v>
      </c>
      <c r="L1112" t="b">
        <v>0</v>
      </c>
      <c r="M1112" t="b">
        <v>0</v>
      </c>
      <c r="N1112" t="inlineStr">
        <is>
          <t>alt</t>
        </is>
      </c>
      <c r="O1112" t="n">
        <v>30</v>
      </c>
      <c r="P1112" t="n">
        <v>0.005005</v>
      </c>
      <c r="Q1112" t="n">
        <v>-85</v>
      </c>
      <c r="R1112" t="n">
        <v>0.10657</v>
      </c>
      <c r="S1112">
        <f>IMAGE("https://mitra.stanford.edu/kundaje/oak/projects/neuro-variants/variant_position/credible/roussos_2024/variant_figures/roussos_2024.childhood.GLU/rs9525161_count_position.png",4,220,900)</f>
        <v/>
      </c>
      <c r="T1112">
        <f>IMAGE("https://mitra.stanford.edu/kundaje/oak/projects/neuro-variants/variant_position/credible/roussos_2024/variant_figures/roussos_2024.childhood.GLU/rs9525161_profile_position.png",4,220,900)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-0.00143471402</v>
      </c>
      <c r="G1113" t="n">
        <v>0.7634872391410417</v>
      </c>
      <c r="H1113" t="n">
        <v>0.0185182168125102</v>
      </c>
      <c r="I1113" t="n">
        <v>0.1270132607935278</v>
      </c>
      <c r="J1113" t="n">
        <v>0.0332079903571759</v>
      </c>
      <c r="K1113" t="n">
        <v>0.4204315979310256</v>
      </c>
      <c r="L1113" t="b">
        <v>0</v>
      </c>
      <c r="M1113" t="b">
        <v>0</v>
      </c>
      <c r="N1113" t="inlineStr">
        <is>
          <t>ref</t>
        </is>
      </c>
      <c r="O1113" t="n">
        <v>50</v>
      </c>
      <c r="P1113" t="n">
        <v>0.004272</v>
      </c>
      <c r="Q1113" t="n">
        <v>-100</v>
      </c>
      <c r="R1113" t="n">
        <v>0.03247</v>
      </c>
      <c r="S1113">
        <f>IMAGE("https://mitra.stanford.edu/kundaje/oak/projects/neuro-variants/variant_position/credible/roussos_2024/variant_figures/roussos_2024.childhood.GLU/rs8002865_count_position.png",4,220,900)</f>
        <v/>
      </c>
      <c r="T1113">
        <f>IMAGE("https://mitra.stanford.edu/kundaje/oak/projects/neuro-variants/variant_position/credible/roussos_2024/variant_figures/roussos_2024.childhood.GLU/rs8002865_profile_position.png",4,220,900)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-0.0324594506</v>
      </c>
      <c r="G1114" t="n">
        <v>0.3123792804404026</v>
      </c>
      <c r="H1114" t="n">
        <v>0.0138439443081604</v>
      </c>
      <c r="I1114" t="n">
        <v>0.3110174298790447</v>
      </c>
      <c r="J1114" t="n">
        <v>0.176128859447598</v>
      </c>
      <c r="K1114" t="n">
        <v>0.1647636010881934</v>
      </c>
      <c r="L1114" t="b">
        <v>0</v>
      </c>
      <c r="M1114" t="b">
        <v>0</v>
      </c>
      <c r="N1114" t="inlineStr">
        <is>
          <t>ref</t>
        </is>
      </c>
      <c r="O1114" t="n">
        <v>55</v>
      </c>
      <c r="P1114" t="n">
        <v>0.003693</v>
      </c>
      <c r="Q1114" t="n">
        <v>-65</v>
      </c>
      <c r="R1114" t="n">
        <v>0.05286</v>
      </c>
      <c r="S1114">
        <f>IMAGE("https://mitra.stanford.edu/kundaje/oak/projects/neuro-variants/variant_position/credible/roussos_2024/variant_figures/roussos_2024.childhood.GLU/rs1927804_count_position.png",4,220,900)</f>
        <v/>
      </c>
      <c r="T1114">
        <f>IMAGE("https://mitra.stanford.edu/kundaje/oak/projects/neuro-variants/variant_position/credible/roussos_2024/variant_figures/roussos_2024.childhood.GLU/rs1927804_profile_position.png",4,220,900)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0.12093623</v>
      </c>
      <c r="G1115" t="n">
        <v>0.030203522863723</v>
      </c>
      <c r="H1115" t="n">
        <v>0.047202046538208</v>
      </c>
      <c r="I1115" t="n">
        <v>0.0034995250623351</v>
      </c>
      <c r="J1115" t="n">
        <v>0.0179958173220558</v>
      </c>
      <c r="K1115" t="n">
        <v>0.5023640079862923</v>
      </c>
      <c r="L1115" t="b">
        <v>1</v>
      </c>
      <c r="M1115" t="b">
        <v>0</v>
      </c>
      <c r="N1115" t="inlineStr">
        <is>
          <t>alt</t>
        </is>
      </c>
      <c r="O1115" t="n">
        <v>-100</v>
      </c>
      <c r="P1115" t="n">
        <v>0.009674</v>
      </c>
      <c r="Q1115" t="n">
        <v>80</v>
      </c>
      <c r="R1115" t="n">
        <v>0.08716</v>
      </c>
      <c r="S1115">
        <f>IMAGE("https://mitra.stanford.edu/kundaje/oak/projects/neuro-variants/variant_position/credible/roussos_2024/variant_figures/roussos_2024.childhood.GLU/rs9516649_count_position.png",4,220,900)</f>
        <v/>
      </c>
      <c r="T1115">
        <f>IMAGE("https://mitra.stanford.edu/kundaje/oak/projects/neuro-variants/variant_position/credible/roussos_2024/variant_figures/roussos_2024.childhood.GLU/rs9516649_profile_position.png",4,220,900)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-0.005204585164</v>
      </c>
      <c r="G1116" t="n">
        <v>0.7589526857820167</v>
      </c>
      <c r="H1116" t="n">
        <v>0.0215081723167076</v>
      </c>
      <c r="I1116" t="n">
        <v>0.07699901932696</v>
      </c>
      <c r="J1116" t="n">
        <v>0.001934746103207</v>
      </c>
      <c r="K1116" t="n">
        <v>0.7768542954288155</v>
      </c>
      <c r="L1116" t="b">
        <v>0</v>
      </c>
      <c r="M1116" t="b">
        <v>0</v>
      </c>
      <c r="N1116" t="inlineStr">
        <is>
          <t>ref</t>
        </is>
      </c>
      <c r="O1116" t="n">
        <v>-60</v>
      </c>
      <c r="P1116" t="n">
        <v>0.0236</v>
      </c>
      <c r="Q1116" t="n">
        <v>50</v>
      </c>
      <c r="R1116" t="n">
        <v>0.05276</v>
      </c>
      <c r="S1116">
        <f>IMAGE("https://mitra.stanford.edu/kundaje/oak/projects/neuro-variants/variant_position/credible/roussos_2024/variant_figures/roussos_2024.childhood.GLU/rs2104657_count_position.png",4,220,900)</f>
        <v/>
      </c>
      <c r="T1116">
        <f>IMAGE("https://mitra.stanford.edu/kundaje/oak/projects/neuro-variants/variant_position/credible/roussos_2024/variant_figures/roussos_2024.childhood.GLU/rs2104657_profile_position.png",4,220,900)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-0.0989523779999999</v>
      </c>
      <c r="G1117" t="n">
        <v>0.0498041287732884</v>
      </c>
      <c r="H1117" t="n">
        <v>0.01178317559458</v>
      </c>
      <c r="I1117" t="n">
        <v>0.4550560170398728</v>
      </c>
      <c r="J1117" t="n">
        <v>0.0217777411478668</v>
      </c>
      <c r="K1117" t="n">
        <v>0.4889427232574475</v>
      </c>
      <c r="L1117" t="b">
        <v>0</v>
      </c>
      <c r="M1117" t="b">
        <v>0</v>
      </c>
      <c r="N1117" t="inlineStr">
        <is>
          <t>ref</t>
        </is>
      </c>
      <c r="O1117" t="n">
        <v>20</v>
      </c>
      <c r="P1117" t="n">
        <v>0.00254</v>
      </c>
      <c r="Q1117" t="n">
        <v>85</v>
      </c>
      <c r="R1117" t="n">
        <v>0.1359</v>
      </c>
      <c r="S1117">
        <f>IMAGE("https://mitra.stanford.edu/kundaje/oak/projects/neuro-variants/variant_position/credible/roussos_2024/variant_figures/roussos_2024.childhood.GLU/rs1927784_count_position.png",4,220,900)</f>
        <v/>
      </c>
      <c r="T1117">
        <f>IMAGE("https://mitra.stanford.edu/kundaje/oak/projects/neuro-variants/variant_position/credible/roussos_2024/variant_figures/roussos_2024.childhood.GLU/rs1927784_profile_position.png",4,220,900)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0.202473868</v>
      </c>
      <c r="G1118" t="n">
        <v>0.0075567464564836</v>
      </c>
      <c r="H1118" t="n">
        <v>0.0424244480389266</v>
      </c>
      <c r="I1118" t="n">
        <v>0.0054836828007339</v>
      </c>
      <c r="J1118" t="n">
        <v>0.0654537587439603</v>
      </c>
      <c r="K1118" t="n">
        <v>0.3107371073531417</v>
      </c>
      <c r="L1118" t="b">
        <v>1</v>
      </c>
      <c r="M1118" t="b">
        <v>1</v>
      </c>
      <c r="N1118" t="inlineStr">
        <is>
          <t>alt</t>
        </is>
      </c>
      <c r="O1118" t="n">
        <v>-100</v>
      </c>
      <c r="P1118" t="n">
        <v>0.07153</v>
      </c>
      <c r="Q1118" t="n">
        <v>-100</v>
      </c>
      <c r="R1118" t="n">
        <v>0.1177</v>
      </c>
      <c r="S1118">
        <f>IMAGE("https://mitra.stanford.edu/kundaje/oak/projects/neuro-variants/variant_position/credible/roussos_2024/variant_figures/roussos_2024.childhood.GLU/rs61966895_count_position.png",4,220,900)</f>
        <v/>
      </c>
      <c r="T1118">
        <f>IMAGE("https://mitra.stanford.edu/kundaje/oak/projects/neuro-variants/variant_position/credible/roussos_2024/variant_figures/roussos_2024.childhood.GLU/rs61966895_profile_position.png",4,220,900)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0.1086503369999999</v>
      </c>
      <c r="G1119" t="n">
        <v>0.0377102007570898</v>
      </c>
      <c r="H1119" t="n">
        <v>0.0142510952123843</v>
      </c>
      <c r="I1119" t="n">
        <v>0.2887450885082718</v>
      </c>
      <c r="J1119" t="n">
        <v>0.0239617995817321</v>
      </c>
      <c r="K1119" t="n">
        <v>0.4700529111095995</v>
      </c>
      <c r="L1119" t="b">
        <v>0</v>
      </c>
      <c r="M1119" t="b">
        <v>0</v>
      </c>
      <c r="N1119" t="inlineStr">
        <is>
          <t>alt</t>
        </is>
      </c>
      <c r="O1119" t="n">
        <v>-10</v>
      </c>
      <c r="P1119" t="n">
        <v>0.0003161</v>
      </c>
      <c r="Q1119" t="n">
        <v>20</v>
      </c>
      <c r="R1119" t="n">
        <v>0.004395</v>
      </c>
      <c r="S1119">
        <f>IMAGE("https://mitra.stanford.edu/kundaje/oak/projects/neuro-variants/variant_position/credible/roussos_2024/variant_figures/roussos_2024.childhood.GLU/rs11619328_count_position.png",4,220,900)</f>
        <v/>
      </c>
      <c r="T1119">
        <f>IMAGE("https://mitra.stanford.edu/kundaje/oak/projects/neuro-variants/variant_position/credible/roussos_2024/variant_figures/roussos_2024.childhood.GLU/rs11619328_profile_position.png",4,220,900)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-0.1727611199999999</v>
      </c>
      <c r="G1120" t="n">
        <v>0.0118116102345851</v>
      </c>
      <c r="H1120" t="n">
        <v>0.0178687396705192</v>
      </c>
      <c r="I1120" t="n">
        <v>0.1455771197218703</v>
      </c>
      <c r="J1120" t="n">
        <v>0.0221465585626422</v>
      </c>
      <c r="K1120" t="n">
        <v>0.4744406989253631</v>
      </c>
      <c r="L1120" t="b">
        <v>1</v>
      </c>
      <c r="M1120" t="b">
        <v>0</v>
      </c>
      <c r="N1120" t="inlineStr">
        <is>
          <t>ref</t>
        </is>
      </c>
      <c r="O1120" t="n">
        <v>-100</v>
      </c>
      <c r="P1120" t="n">
        <v>0.003258</v>
      </c>
      <c r="Q1120" t="n">
        <v>70</v>
      </c>
      <c r="R1120" t="n">
        <v>0.0481</v>
      </c>
      <c r="S1120">
        <f>IMAGE("https://mitra.stanford.edu/kundaje/oak/projects/neuro-variants/variant_position/credible/roussos_2024/variant_figures/roussos_2024.childhood.GLU/rs2038823_count_position.png",4,220,900)</f>
        <v/>
      </c>
      <c r="T1120">
        <f>IMAGE("https://mitra.stanford.edu/kundaje/oak/projects/neuro-variants/variant_position/credible/roussos_2024/variant_figures/roussos_2024.childhood.GLU/rs2038823_profile_position.png",4,220,900)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-0.0687991604</v>
      </c>
      <c r="G1121" t="n">
        <v>0.1110425309599942</v>
      </c>
      <c r="H1121" t="n">
        <v>0.015873940696205</v>
      </c>
      <c r="I1121" t="n">
        <v>0.2208610082930385</v>
      </c>
      <c r="J1121" t="n">
        <v>0.0134165061246355</v>
      </c>
      <c r="K1121" t="n">
        <v>0.5558166690461496</v>
      </c>
      <c r="L1121" t="b">
        <v>0</v>
      </c>
      <c r="M1121" t="b">
        <v>0</v>
      </c>
      <c r="N1121" t="inlineStr">
        <is>
          <t>ref</t>
        </is>
      </c>
      <c r="O1121" t="n">
        <v>100</v>
      </c>
      <c r="P1121" t="n">
        <v>0.01079</v>
      </c>
      <c r="Q1121" t="n">
        <v>-50</v>
      </c>
      <c r="R1121" t="n">
        <v>0.1816</v>
      </c>
      <c r="S1121">
        <f>IMAGE("https://mitra.stanford.edu/kundaje/oak/projects/neuro-variants/variant_position/credible/roussos_2024/variant_figures/roussos_2024.childhood.GLU/rs11618312_count_position.png",4,220,900)</f>
        <v/>
      </c>
      <c r="T1121">
        <f>IMAGE("https://mitra.stanford.edu/kundaje/oak/projects/neuro-variants/variant_position/credible/roussos_2024/variant_figures/roussos_2024.childhood.GLU/rs11618312_profile_position.png",4,220,900)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-0.0678720186</v>
      </c>
      <c r="G1122" t="n">
        <v>0.1117292050099366</v>
      </c>
      <c r="H1122" t="n">
        <v>0.0115319830007866</v>
      </c>
      <c r="I1122" t="n">
        <v>0.4860069508529313</v>
      </c>
      <c r="J1122" t="n">
        <v>0.1347821607755467</v>
      </c>
      <c r="K1122" t="n">
        <v>0.2007713297839245</v>
      </c>
      <c r="L1122" t="b">
        <v>0</v>
      </c>
      <c r="M1122" t="b">
        <v>0</v>
      </c>
      <c r="N1122" t="inlineStr">
        <is>
          <t>ref</t>
        </is>
      </c>
      <c r="O1122" t="n">
        <v>95</v>
      </c>
      <c r="P1122" t="n">
        <v>0.006542</v>
      </c>
      <c r="Q1122" t="n">
        <v>-50</v>
      </c>
      <c r="R1122" t="n">
        <v>0.09279999999999999</v>
      </c>
      <c r="S1122">
        <f>IMAGE("https://mitra.stanford.edu/kundaje/oak/projects/neuro-variants/variant_position/credible/roussos_2024/variant_figures/roussos_2024.childhood.GLU/rs117420459_count_position.png",4,220,900)</f>
        <v/>
      </c>
      <c r="T1122">
        <f>IMAGE("https://mitra.stanford.edu/kundaje/oak/projects/neuro-variants/variant_position/credible/roussos_2024/variant_figures/roussos_2024.childhood.GLU/rs117420459_profile_position.png",4,220,900)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0.0444346324</v>
      </c>
      <c r="G1123" t="n">
        <v>0.2223707818648161</v>
      </c>
      <c r="H1123" t="n">
        <v>0.0260798200277759</v>
      </c>
      <c r="I1123" t="n">
        <v>0.038210951940644</v>
      </c>
      <c r="J1123" t="n">
        <v>0.0384311867060895</v>
      </c>
      <c r="K1123" t="n">
        <v>0.3950048800036555</v>
      </c>
      <c r="L1123" t="b">
        <v>0</v>
      </c>
      <c r="M1123" t="b">
        <v>0</v>
      </c>
      <c r="N1123" t="inlineStr">
        <is>
          <t>alt</t>
        </is>
      </c>
      <c r="O1123" t="n">
        <v>95</v>
      </c>
      <c r="P1123" t="n">
        <v>0.0554</v>
      </c>
      <c r="Q1123" t="n">
        <v>100</v>
      </c>
      <c r="R1123" t="n">
        <v>0.1317</v>
      </c>
      <c r="S1123">
        <f>IMAGE("https://mitra.stanford.edu/kundaje/oak/projects/neuro-variants/variant_position/credible/roussos_2024/variant_figures/roussos_2024.childhood.GLU/rs115587611_count_position.png",4,220,900)</f>
        <v/>
      </c>
      <c r="T1123">
        <f>IMAGE("https://mitra.stanford.edu/kundaje/oak/projects/neuro-variants/variant_position/credible/roussos_2024/variant_figures/roussos_2024.childhood.GLU/rs115587611_profile_position.png",4,220,900)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0.0365878612</v>
      </c>
      <c r="G1124" t="n">
        <v>0.2618553520809517</v>
      </c>
      <c r="H1124" t="n">
        <v>0.0258508539526699</v>
      </c>
      <c r="I1124" t="n">
        <v>0.0399791982470015</v>
      </c>
      <c r="J1124" t="n">
        <v>0.2664870656350768</v>
      </c>
      <c r="K1124" t="n">
        <v>0.1110978758002037</v>
      </c>
      <c r="L1124" t="b">
        <v>0</v>
      </c>
      <c r="M1124" t="b">
        <v>0</v>
      </c>
      <c r="N1124" t="inlineStr">
        <is>
          <t>alt</t>
        </is>
      </c>
      <c r="O1124" t="n">
        <v>-100</v>
      </c>
      <c r="P1124" t="n">
        <v>0.04816</v>
      </c>
      <c r="Q1124" t="n">
        <v>-100</v>
      </c>
      <c r="R1124" t="n">
        <v>0.2817</v>
      </c>
      <c r="S1124">
        <f>IMAGE("https://mitra.stanford.edu/kundaje/oak/projects/neuro-variants/variant_position/credible/roussos_2024/variant_figures/roussos_2024.childhood.GLU/rs115470719_count_position.png",4,220,900)</f>
        <v/>
      </c>
      <c r="T1124">
        <f>IMAGE("https://mitra.stanford.edu/kundaje/oak/projects/neuro-variants/variant_position/credible/roussos_2024/variant_figures/roussos_2024.childhood.GLU/rs115470719_profile_position.png",4,220,900)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0.0395982264</v>
      </c>
      <c r="G1125" t="n">
        <v>0.2373685497293481</v>
      </c>
      <c r="H1125" t="n">
        <v>0.0211285845267872</v>
      </c>
      <c r="I1125" t="n">
        <v>0.088509386705155</v>
      </c>
      <c r="J1125" t="n">
        <v>0.0533590200583101</v>
      </c>
      <c r="K1125" t="n">
        <v>0.3442384256741405</v>
      </c>
      <c r="L1125" t="b">
        <v>0</v>
      </c>
      <c r="M1125" t="b">
        <v>0</v>
      </c>
      <c r="N1125" t="inlineStr">
        <is>
          <t>alt</t>
        </is>
      </c>
      <c r="O1125" t="n">
        <v>35</v>
      </c>
      <c r="P1125" t="n">
        <v>0.03882</v>
      </c>
      <c r="Q1125" t="n">
        <v>100</v>
      </c>
      <c r="R1125" t="n">
        <v>0.0396</v>
      </c>
      <c r="S1125">
        <f>IMAGE("https://mitra.stanford.edu/kundaje/oak/projects/neuro-variants/variant_position/credible/roussos_2024/variant_figures/roussos_2024.childhood.GLU/rs61966906_count_position.png",4,220,900)</f>
        <v/>
      </c>
      <c r="T1125">
        <f>IMAGE("https://mitra.stanford.edu/kundaje/oak/projects/neuro-variants/variant_position/credible/roussos_2024/variant_figures/roussos_2024.childhood.GLU/rs61966906_profile_position.png",4,220,900)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-0.094907354</v>
      </c>
      <c r="G1126" t="n">
        <v>0.0572013972052161</v>
      </c>
      <c r="H1126" t="n">
        <v>0.0140214233390248</v>
      </c>
      <c r="I1126" t="n">
        <v>0.2947749099250414</v>
      </c>
      <c r="J1126" t="n">
        <v>0.0078214017122193</v>
      </c>
      <c r="K1126" t="n">
        <v>0.6636071555466476</v>
      </c>
      <c r="L1126" t="b">
        <v>0</v>
      </c>
      <c r="M1126" t="b">
        <v>0</v>
      </c>
      <c r="N1126" t="inlineStr">
        <is>
          <t>ref</t>
        </is>
      </c>
      <c r="O1126" t="n">
        <v>-30</v>
      </c>
      <c r="P1126" t="n">
        <v>0.00566</v>
      </c>
      <c r="Q1126" t="n">
        <v>75</v>
      </c>
      <c r="R1126" t="n">
        <v>0.02686</v>
      </c>
      <c r="S1126">
        <f>IMAGE("https://mitra.stanford.edu/kundaje/oak/projects/neuro-variants/variant_position/credible/roussos_2024/variant_figures/roussos_2024.childhood.GLU/rs61966910_count_position.png",4,220,900)</f>
        <v/>
      </c>
      <c r="T1126">
        <f>IMAGE("https://mitra.stanford.edu/kundaje/oak/projects/neuro-variants/variant_position/credible/roussos_2024/variant_figures/roussos_2024.childhood.GLU/rs61966910_profile_position.png",4,220,900)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-0.0652586788</v>
      </c>
      <c r="G1127" t="n">
        <v>0.1148786096954321</v>
      </c>
      <c r="H1127" t="n">
        <v>0.0116024649520557</v>
      </c>
      <c r="I1127" t="n">
        <v>0.4917440965424894</v>
      </c>
      <c r="J1127" t="n">
        <v>0.4410304222856377</v>
      </c>
      <c r="K1127" t="n">
        <v>0.0544345959694195</v>
      </c>
      <c r="L1127" t="b">
        <v>0</v>
      </c>
      <c r="M1127" t="b">
        <v>0</v>
      </c>
      <c r="N1127" t="inlineStr">
        <is>
          <t>ref</t>
        </is>
      </c>
      <c r="O1127" t="n">
        <v>35</v>
      </c>
      <c r="P1127" t="n">
        <v>0.001078</v>
      </c>
      <c r="Q1127" t="n">
        <v>-30</v>
      </c>
      <c r="R1127" t="n">
        <v>0.0454</v>
      </c>
      <c r="S1127">
        <f>IMAGE("https://mitra.stanford.edu/kundaje/oak/projects/neuro-variants/variant_position/credible/roussos_2024/variant_figures/roussos_2024.childhood.GLU/rs11616787_count_position.png",4,220,900)</f>
        <v/>
      </c>
      <c r="T1127">
        <f>IMAGE("https://mitra.stanford.edu/kundaje/oak/projects/neuro-variants/variant_position/credible/roussos_2024/variant_figures/roussos_2024.childhood.GLU/rs11616787_profile_position.png",4,220,900)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0.0373756258</v>
      </c>
      <c r="G1128" t="n">
        <v>0.2642043315429118</v>
      </c>
      <c r="H1128" t="n">
        <v>0.0090613004955565</v>
      </c>
      <c r="I1128" t="n">
        <v>0.7652618867146362</v>
      </c>
      <c r="J1128" t="n">
        <v>0.0070590416928512</v>
      </c>
      <c r="K1128" t="n">
        <v>0.6402855472079744</v>
      </c>
      <c r="L1128" t="b">
        <v>0</v>
      </c>
      <c r="M1128" t="b">
        <v>0</v>
      </c>
      <c r="N1128" t="inlineStr">
        <is>
          <t>alt</t>
        </is>
      </c>
      <c r="O1128" t="n">
        <v>-20</v>
      </c>
      <c r="P1128" t="n">
        <v>0.004597</v>
      </c>
      <c r="Q1128" t="n">
        <v>95</v>
      </c>
      <c r="R1128" t="n">
        <v>0.1339</v>
      </c>
      <c r="S1128">
        <f>IMAGE("https://mitra.stanford.edu/kundaje/oak/projects/neuro-variants/variant_position/credible/roussos_2024/variant_figures/roussos_2024.childhood.GLU/rs11620555_count_position.png",4,220,900)</f>
        <v/>
      </c>
      <c r="T1128">
        <f>IMAGE("https://mitra.stanford.edu/kundaje/oak/projects/neuro-variants/variant_position/credible/roussos_2024/variant_figures/roussos_2024.childhood.GLU/rs11620555_profile_position.png",4,220,900)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-0.1658993368</v>
      </c>
      <c r="G1129" t="n">
        <v>0.0164136715063001</v>
      </c>
      <c r="H1129" t="n">
        <v>0.0218857105850093</v>
      </c>
      <c r="I1129" t="n">
        <v>0.0813427828046015</v>
      </c>
      <c r="J1129" t="n">
        <v>0.1401588593445764</v>
      </c>
      <c r="K1129" t="n">
        <v>0.2020777283826293</v>
      </c>
      <c r="L1129" t="b">
        <v>1</v>
      </c>
      <c r="M1129" t="b">
        <v>0</v>
      </c>
      <c r="N1129" t="inlineStr">
        <is>
          <t>ref</t>
        </is>
      </c>
      <c r="O1129" t="n">
        <v>-80</v>
      </c>
      <c r="P1129" t="n">
        <v>0.02637</v>
      </c>
      <c r="Q1129" t="n">
        <v>-70</v>
      </c>
      <c r="R1129" t="n">
        <v>0.1958</v>
      </c>
      <c r="S1129">
        <f>IMAGE("https://mitra.stanford.edu/kundaje/oak/projects/neuro-variants/variant_position/credible/roussos_2024/variant_figures/roussos_2024.childhood.GLU/rs11842501_count_position.png",4,220,900)</f>
        <v/>
      </c>
      <c r="T1129">
        <f>IMAGE("https://mitra.stanford.edu/kundaje/oak/projects/neuro-variants/variant_position/credible/roussos_2024/variant_figures/roussos_2024.childhood.GLU/rs11842501_profile_position.png",4,220,900)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0.003914649552</v>
      </c>
      <c r="G1130" t="n">
        <v>0.793995522476773</v>
      </c>
      <c r="H1130" t="n">
        <v>0.0106521736227965</v>
      </c>
      <c r="I1130" t="n">
        <v>0.5872276768672622</v>
      </c>
      <c r="J1130" t="n">
        <v>0.1659307488641865</v>
      </c>
      <c r="K1130" t="n">
        <v>0.1799708781286207</v>
      </c>
      <c r="L1130" t="b">
        <v>0</v>
      </c>
      <c r="M1130" t="b">
        <v>0</v>
      </c>
      <c r="N1130" t="inlineStr">
        <is>
          <t>alt</t>
        </is>
      </c>
      <c r="O1130" t="n">
        <v>35</v>
      </c>
      <c r="P1130" t="n">
        <v>0.001774</v>
      </c>
      <c r="Q1130" t="n">
        <v>-80</v>
      </c>
      <c r="R1130" t="n">
        <v>0.3203</v>
      </c>
      <c r="S1130">
        <f>IMAGE("https://mitra.stanford.edu/kundaje/oak/projects/neuro-variants/variant_position/credible/roussos_2024/variant_figures/roussos_2024.childhood.GLU/rs61966935_count_position.png",4,220,900)</f>
        <v/>
      </c>
      <c r="T1130">
        <f>IMAGE("https://mitra.stanford.edu/kundaje/oak/projects/neuro-variants/variant_position/credible/roussos_2024/variant_figures/roussos_2024.childhood.GLU/rs61966935_profile_position.png",4,220,900)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0.136170808</v>
      </c>
      <c r="G1131" t="n">
        <v>0.0222204036267425</v>
      </c>
      <c r="H1131" t="n">
        <v>0.0281406428719531</v>
      </c>
      <c r="I1131" t="n">
        <v>0.0294278146962179</v>
      </c>
      <c r="J1131" t="n">
        <v>0.0617552824337827</v>
      </c>
      <c r="K1131" t="n">
        <v>0.3210528449115508</v>
      </c>
      <c r="L1131" t="b">
        <v>0</v>
      </c>
      <c r="M1131" t="b">
        <v>0</v>
      </c>
      <c r="N1131" t="inlineStr">
        <is>
          <t>alt</t>
        </is>
      </c>
      <c r="O1131" t="n">
        <v>-100</v>
      </c>
      <c r="P1131" t="n">
        <v>0.0304</v>
      </c>
      <c r="Q1131" t="n">
        <v>-30</v>
      </c>
      <c r="R1131" t="n">
        <v>0.02539</v>
      </c>
      <c r="S1131">
        <f>IMAGE("https://mitra.stanford.edu/kundaje/oak/projects/neuro-variants/variant_position/credible/roussos_2024/variant_figures/roussos_2024.childhood.GLU/rs11618566_count_position.png",4,220,900)</f>
        <v/>
      </c>
      <c r="T1131">
        <f>IMAGE("https://mitra.stanford.edu/kundaje/oak/projects/neuro-variants/variant_position/credible/roussos_2024/variant_figures/roussos_2024.childhood.GLU/rs11618566_profile_position.png",4,220,900)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0.00131147662</v>
      </c>
      <c r="G1132" t="n">
        <v>0.785262822574276</v>
      </c>
      <c r="H1132" t="n">
        <v>0.0149607365871921</v>
      </c>
      <c r="I1132" t="n">
        <v>0.2503471868984891</v>
      </c>
      <c r="J1132" t="n">
        <v>0.0021294569730185</v>
      </c>
      <c r="K1132" t="n">
        <v>0.7633817705543048</v>
      </c>
      <c r="L1132" t="b">
        <v>0</v>
      </c>
      <c r="M1132" t="b">
        <v>0</v>
      </c>
      <c r="N1132" t="inlineStr">
        <is>
          <t>alt</t>
        </is>
      </c>
      <c r="O1132" t="n">
        <v>-55</v>
      </c>
      <c r="P1132" t="n">
        <v>0.002625</v>
      </c>
      <c r="Q1132" t="n">
        <v>-100</v>
      </c>
      <c r="R1132" t="n">
        <v>0.0926</v>
      </c>
      <c r="S1132">
        <f>IMAGE("https://mitra.stanford.edu/kundaje/oak/projects/neuro-variants/variant_position/credible/roussos_2024/variant_figures/roussos_2024.childhood.GLU/rs7993037_count_position.png",4,220,900)</f>
        <v/>
      </c>
      <c r="T1132">
        <f>IMAGE("https://mitra.stanford.edu/kundaje/oak/projects/neuro-variants/variant_position/credible/roussos_2024/variant_figures/roussos_2024.childhood.GLU/rs7993037_profile_position.png",4,220,900)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0.0371242708</v>
      </c>
      <c r="G1133" t="n">
        <v>0.268067033068219</v>
      </c>
      <c r="H1133" t="n">
        <v>0.0208172432428976</v>
      </c>
      <c r="I1133" t="n">
        <v>0.0864816113925887</v>
      </c>
      <c r="J1133" t="n">
        <v>0.0023859808173735</v>
      </c>
      <c r="K1133" t="n">
        <v>0.750934369355334</v>
      </c>
      <c r="L1133" t="b">
        <v>0</v>
      </c>
      <c r="M1133" t="b">
        <v>0</v>
      </c>
      <c r="N1133" t="inlineStr">
        <is>
          <t>alt</t>
        </is>
      </c>
      <c r="O1133" t="n">
        <v>-70</v>
      </c>
      <c r="P1133" t="n">
        <v>0.000977</v>
      </c>
      <c r="Q1133" t="n">
        <v>-95</v>
      </c>
      <c r="R1133" t="n">
        <v>0.05545</v>
      </c>
      <c r="S1133">
        <f>IMAGE("https://mitra.stanford.edu/kundaje/oak/projects/neuro-variants/variant_position/credible/roussos_2024/variant_figures/roussos_2024.childhood.GLU/rs114779898_count_position.png",4,220,900)</f>
        <v/>
      </c>
      <c r="T1133">
        <f>IMAGE("https://mitra.stanford.edu/kundaje/oak/projects/neuro-variants/variant_position/credible/roussos_2024/variant_figures/roussos_2024.childhood.GLU/rs114779898_profile_position.png",4,220,900)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-0.358627234</v>
      </c>
      <c r="G1134" t="n">
        <v>0.0010695200121194</v>
      </c>
      <c r="H1134" t="n">
        <v>0.0395424846398388</v>
      </c>
      <c r="I1134" t="n">
        <v>0.0072349428022338</v>
      </c>
      <c r="J1134" t="n">
        <v>0.4362141613524678</v>
      </c>
      <c r="K1134" t="n">
        <v>0.0547610575141342</v>
      </c>
      <c r="L1134" t="b">
        <v>1</v>
      </c>
      <c r="M1134" t="b">
        <v>1</v>
      </c>
      <c r="N1134" t="inlineStr">
        <is>
          <t>ref</t>
        </is>
      </c>
      <c r="O1134" t="n">
        <v>75</v>
      </c>
      <c r="P1134" t="n">
        <v>0.01697</v>
      </c>
      <c r="Q1134" t="n">
        <v>-20</v>
      </c>
      <c r="R1134" t="n">
        <v>0.000977</v>
      </c>
      <c r="S1134">
        <f>IMAGE("https://mitra.stanford.edu/kundaje/oak/projects/neuro-variants/variant_position/credible/roussos_2024/variant_figures/roussos_2024.childhood.GLU/rs17486808_count_position.png",4,220,900)</f>
        <v/>
      </c>
      <c r="T1134">
        <f>IMAGE("https://mitra.stanford.edu/kundaje/oak/projects/neuro-variants/variant_position/credible/roussos_2024/variant_figures/roussos_2024.childhood.GLU/rs17486808_profile_position.png",4,220,900)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0.0491798647999999</v>
      </c>
      <c r="G1135" t="n">
        <v>0.1764068577491704</v>
      </c>
      <c r="H1135" t="n">
        <v>0.0133931506405648</v>
      </c>
      <c r="I1135" t="n">
        <v>0.3482742492741041</v>
      </c>
      <c r="J1135" t="n">
        <v>0.1457838400280218</v>
      </c>
      <c r="K1135" t="n">
        <v>0.1938512337492922</v>
      </c>
      <c r="L1135" t="b">
        <v>0</v>
      </c>
      <c r="M1135" t="b">
        <v>0</v>
      </c>
      <c r="N1135" t="inlineStr">
        <is>
          <t>alt</t>
        </is>
      </c>
      <c r="O1135" t="n">
        <v>25</v>
      </c>
      <c r="P1135" t="n">
        <v>0.001831</v>
      </c>
      <c r="Q1135" t="n">
        <v>40</v>
      </c>
      <c r="R1135" t="n">
        <v>0.07275</v>
      </c>
      <c r="S1135">
        <f>IMAGE("https://mitra.stanford.edu/kundaje/oak/projects/neuro-variants/variant_position/credible/roussos_2024/variant_figures/roussos_2024.childhood.GLU/rs61973699_count_position.png",4,220,900)</f>
        <v/>
      </c>
      <c r="T1135">
        <f>IMAGE("https://mitra.stanford.edu/kundaje/oak/projects/neuro-variants/variant_position/credible/roussos_2024/variant_figures/roussos_2024.childhood.GLU/rs61973699_profile_position.png",4,220,900)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0.0121158996599999</v>
      </c>
      <c r="G1136" t="n">
        <v>0.436464304183071</v>
      </c>
      <c r="H1136" t="n">
        <v>0.0165394437126333</v>
      </c>
      <c r="I1136" t="n">
        <v>0.1867544496400484</v>
      </c>
      <c r="J1136" t="n">
        <v>0.0002369497357494</v>
      </c>
      <c r="K1136" t="n">
        <v>0.9084386722675142</v>
      </c>
      <c r="L1136" t="b">
        <v>0</v>
      </c>
      <c r="M1136" t="b">
        <v>0</v>
      </c>
      <c r="N1136" t="inlineStr">
        <is>
          <t>alt</t>
        </is>
      </c>
      <c r="O1136" t="n">
        <v>0</v>
      </c>
      <c r="P1136" t="n">
        <v>0</v>
      </c>
      <c r="Q1136" t="n">
        <v>100</v>
      </c>
      <c r="R1136" t="n">
        <v>0.06256</v>
      </c>
      <c r="S1136">
        <f>IMAGE("https://mitra.stanford.edu/kundaje/oak/projects/neuro-variants/variant_position/credible/roussos_2024/variant_figures/roussos_2024.childhood.GLU/rs56313970_count_position.png",4,220,900)</f>
        <v/>
      </c>
      <c r="T1136">
        <f>IMAGE("https://mitra.stanford.edu/kundaje/oak/projects/neuro-variants/variant_position/credible/roussos_2024/variant_figures/roussos_2024.childhood.GLU/rs56313970_profile_position.png",4,220,900)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0.0016505561799999</v>
      </c>
      <c r="G1137" t="n">
        <v>0.6766589386690355</v>
      </c>
      <c r="H1137" t="n">
        <v>0.0263375146411561</v>
      </c>
      <c r="I1137" t="n">
        <v>0.0356119114501492</v>
      </c>
      <c r="J1137" t="n">
        <v>0.0003564548198666</v>
      </c>
      <c r="K1137" t="n">
        <v>0.8881178627923999</v>
      </c>
      <c r="L1137" t="b">
        <v>0</v>
      </c>
      <c r="M1137" t="b">
        <v>0</v>
      </c>
      <c r="N1137" t="inlineStr">
        <is>
          <t>alt</t>
        </is>
      </c>
      <c r="O1137" t="n">
        <v>-50</v>
      </c>
      <c r="P1137" t="n">
        <v>0.02242</v>
      </c>
      <c r="Q1137" t="n">
        <v>-90</v>
      </c>
      <c r="R1137" t="n">
        <v>0.1321</v>
      </c>
      <c r="S1137">
        <f>IMAGE("https://mitra.stanford.edu/kundaje/oak/projects/neuro-variants/variant_position/credible/roussos_2024/variant_figures/roussos_2024.childhood.GLU/rs55865304_count_position.png",4,220,900)</f>
        <v/>
      </c>
      <c r="T1137">
        <f>IMAGE("https://mitra.stanford.edu/kundaje/oak/projects/neuro-variants/variant_position/credible/roussos_2024/variant_figures/roussos_2024.childhood.GLU/rs55865304_profile_position.png",4,220,900)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-0.094764591</v>
      </c>
      <c r="G1138" t="n">
        <v>0.0531360402363468</v>
      </c>
      <c r="H1138" t="n">
        <v>0.011185103286006</v>
      </c>
      <c r="I1138" t="n">
        <v>0.5227553902002295</v>
      </c>
      <c r="J1138" t="n">
        <v>0.0005254102836184</v>
      </c>
      <c r="K1138" t="n">
        <v>0.8686070619572226</v>
      </c>
      <c r="L1138" t="b">
        <v>0</v>
      </c>
      <c r="M1138" t="b">
        <v>0</v>
      </c>
      <c r="N1138" t="inlineStr">
        <is>
          <t>ref</t>
        </is>
      </c>
      <c r="O1138" t="n">
        <v>-50</v>
      </c>
      <c r="P1138" t="n">
        <v>0.002598</v>
      </c>
      <c r="Q1138" t="n">
        <v>-60</v>
      </c>
      <c r="R1138" t="n">
        <v>0.03827</v>
      </c>
      <c r="S1138">
        <f>IMAGE("https://mitra.stanford.edu/kundaje/oak/projects/neuro-variants/variant_position/credible/roussos_2024/variant_figures/roussos_2024.childhood.GLU/rs61973707_count_position.png",4,220,900)</f>
        <v/>
      </c>
      <c r="T1138">
        <f>IMAGE("https://mitra.stanford.edu/kundaje/oak/projects/neuro-variants/variant_position/credible/roussos_2024/variant_figures/roussos_2024.childhood.GLU/rs61973707_profile_position.png",4,220,900)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0.0404623901</v>
      </c>
      <c r="G1139" t="n">
        <v>0.239799963113447</v>
      </c>
      <c r="H1139" t="n">
        <v>0.0114420625852879</v>
      </c>
      <c r="I1139" t="n">
        <v>0.5043838226914585</v>
      </c>
      <c r="J1139" t="n">
        <v>0.0021026713507164</v>
      </c>
      <c r="K1139" t="n">
        <v>0.7597205723943415</v>
      </c>
      <c r="L1139" t="b">
        <v>0</v>
      </c>
      <c r="M1139" t="b">
        <v>0</v>
      </c>
      <c r="N1139" t="inlineStr">
        <is>
          <t>alt</t>
        </is>
      </c>
      <c r="O1139" t="n">
        <v>-10</v>
      </c>
      <c r="P1139" t="n">
        <v>0.002708</v>
      </c>
      <c r="Q1139" t="n">
        <v>0</v>
      </c>
      <c r="R1139" t="n">
        <v>0</v>
      </c>
      <c r="S1139">
        <f>IMAGE("https://mitra.stanford.edu/kundaje/oak/projects/neuro-variants/variant_position/credible/roussos_2024/variant_figures/roussos_2024.childhood.GLU/rs12429854_count_position.png",4,220,900)</f>
        <v/>
      </c>
      <c r="T1139">
        <f>IMAGE("https://mitra.stanford.edu/kundaje/oak/projects/neuro-variants/variant_position/credible/roussos_2024/variant_figures/roussos_2024.childhood.GLU/rs12429854_profile_position.png",4,220,900)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-0.0398427304</v>
      </c>
      <c r="G1140" t="n">
        <v>0.2586073594162338</v>
      </c>
      <c r="H1140" t="n">
        <v>0.0112700559544037</v>
      </c>
      <c r="I1140" t="n">
        <v>0.5227624978302815</v>
      </c>
      <c r="J1140" t="n">
        <v>0.0113581340723417</v>
      </c>
      <c r="K1140" t="n">
        <v>0.5767164552982657</v>
      </c>
      <c r="L1140" t="b">
        <v>0</v>
      </c>
      <c r="M1140" t="b">
        <v>0</v>
      </c>
      <c r="N1140" t="inlineStr">
        <is>
          <t>ref</t>
        </is>
      </c>
      <c r="O1140" t="n">
        <v>50</v>
      </c>
      <c r="P1140" t="n">
        <v>0.006836</v>
      </c>
      <c r="Q1140" t="n">
        <v>-100</v>
      </c>
      <c r="R1140" t="n">
        <v>0.08167000000000001</v>
      </c>
      <c r="S1140">
        <f>IMAGE("https://mitra.stanford.edu/kundaje/oak/projects/neuro-variants/variant_position/credible/roussos_2024/variant_figures/roussos_2024.childhood.GLU/rs9585685_count_position.png",4,220,900)</f>
        <v/>
      </c>
      <c r="T1140">
        <f>IMAGE("https://mitra.stanford.edu/kundaje/oak/projects/neuro-variants/variant_position/credible/roussos_2024/variant_figures/roussos_2024.childhood.GLU/rs9585685_profile_position.png",4,220,900)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-0.0597432855999999</v>
      </c>
      <c r="G1141" t="n">
        <v>0.135333217993191</v>
      </c>
      <c r="H1141" t="n">
        <v>0.0147562381096944</v>
      </c>
      <c r="I1141" t="n">
        <v>0.2609390941115169</v>
      </c>
      <c r="J1141" t="n">
        <v>0.3350036572676604</v>
      </c>
      <c r="K1141" t="n">
        <v>0.0842763328687202</v>
      </c>
      <c r="L1141" t="b">
        <v>0</v>
      </c>
      <c r="M1141" t="b">
        <v>0</v>
      </c>
      <c r="N1141" t="inlineStr">
        <is>
          <t>ref</t>
        </is>
      </c>
      <c r="O1141" t="n">
        <v>-100</v>
      </c>
      <c r="P1141" t="n">
        <v>0.004066</v>
      </c>
      <c r="Q1141" t="n">
        <v>-95</v>
      </c>
      <c r="R1141" t="n">
        <v>0.0779</v>
      </c>
      <c r="S1141">
        <f>IMAGE("https://mitra.stanford.edu/kundaje/oak/projects/neuro-variants/variant_position/credible/roussos_2024/variant_figures/roussos_2024.childhood.GLU/rs9559929_count_position.png",4,220,900)</f>
        <v/>
      </c>
      <c r="T1141">
        <f>IMAGE("https://mitra.stanford.edu/kundaje/oak/projects/neuro-variants/variant_position/credible/roussos_2024/variant_figures/roussos_2024.childhood.GLU/rs9559929_profile_position.png",4,220,900)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-0.0246352503399999</v>
      </c>
      <c r="G1142" t="n">
        <v>0.4043894863039839</v>
      </c>
      <c r="H1142" t="n">
        <v>0.0219747377488064</v>
      </c>
      <c r="I1142" t="n">
        <v>0.0701920878470239</v>
      </c>
      <c r="J1142" t="n">
        <v>0.1699053231273243</v>
      </c>
      <c r="K1142" t="n">
        <v>0.1703790842915025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0.01065</v>
      </c>
      <c r="Q1142" t="n">
        <v>-20</v>
      </c>
      <c r="R1142" t="n">
        <v>0.00598</v>
      </c>
      <c r="S1142">
        <f>IMAGE("https://mitra.stanford.edu/kundaje/oak/projects/neuro-variants/variant_position/credible/roussos_2024/variant_figures/roussos_2024.childhood.GLU/rs9559931_count_position.png",4,220,900)</f>
        <v/>
      </c>
      <c r="T1142">
        <f>IMAGE("https://mitra.stanford.edu/kundaje/oak/projects/neuro-variants/variant_position/credible/roussos_2024/variant_figures/roussos_2024.childhood.GLU/rs9559931_profile_position.png",4,220,900)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-0.014586804928</v>
      </c>
      <c r="G1143" t="n">
        <v>0.5617679943632075</v>
      </c>
      <c r="H1143" t="n">
        <v>0.0159839944662961</v>
      </c>
      <c r="I1143" t="n">
        <v>0.2121594489198169</v>
      </c>
      <c r="J1143" t="n">
        <v>0.1679695468078749</v>
      </c>
      <c r="K1143" t="n">
        <v>0.1719875247286883</v>
      </c>
      <c r="L1143" t="b">
        <v>0</v>
      </c>
      <c r="M1143" t="b">
        <v>0</v>
      </c>
      <c r="N1143" t="inlineStr">
        <is>
          <t>ref</t>
        </is>
      </c>
      <c r="O1143" t="n">
        <v>100</v>
      </c>
      <c r="P1143" t="n">
        <v>0.011284</v>
      </c>
      <c r="Q1143" t="n">
        <v>-20</v>
      </c>
      <c r="R1143" t="n">
        <v>0.015015</v>
      </c>
      <c r="S1143">
        <f>IMAGE("https://mitra.stanford.edu/kundaje/oak/projects/neuro-variants/variant_position/credible/roussos_2024/variant_figures/roussos_2024.childhood.GLU/rs9559932_count_position.png",4,220,900)</f>
        <v/>
      </c>
      <c r="T1143">
        <f>IMAGE("https://mitra.stanford.edu/kundaje/oak/projects/neuro-variants/variant_position/credible/roussos_2024/variant_figures/roussos_2024.childhood.GLU/rs9559932_profile_position.png",4,220,900)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0.08002001979999999</v>
      </c>
      <c r="G1144" t="n">
        <v>0.07298274647589929</v>
      </c>
      <c r="H1144" t="n">
        <v>0.0328942910385217</v>
      </c>
      <c r="I1144" t="n">
        <v>0.014526021674796</v>
      </c>
      <c r="J1144" t="n">
        <v>0.0676913884224298</v>
      </c>
      <c r="K1144" t="n">
        <v>0.3041915441998948</v>
      </c>
      <c r="L1144" t="b">
        <v>1</v>
      </c>
      <c r="M1144" t="b">
        <v>0</v>
      </c>
      <c r="N1144" t="inlineStr">
        <is>
          <t>alt</t>
        </is>
      </c>
      <c r="O1144" t="n">
        <v>25</v>
      </c>
      <c r="P1144" t="n">
        <v>0.01544</v>
      </c>
      <c r="Q1144" t="n">
        <v>20</v>
      </c>
      <c r="R1144" t="n">
        <v>0.02808</v>
      </c>
      <c r="S1144">
        <f>IMAGE("https://mitra.stanford.edu/kundaje/oak/projects/neuro-variants/variant_position/credible/roussos_2024/variant_figures/roussos_2024.childhood.GLU/rs9559934_count_position.png",4,220,900)</f>
        <v/>
      </c>
      <c r="T1144">
        <f>IMAGE("https://mitra.stanford.edu/kundaje/oak/projects/neuro-variants/variant_position/credible/roussos_2024/variant_figures/roussos_2024.childhood.GLU/rs9559934_profile_position.png",4,220,900)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-0.0399727999</v>
      </c>
      <c r="G1145" t="n">
        <v>0.2736798687065842</v>
      </c>
      <c r="H1145" t="n">
        <v>0.0204504705307395</v>
      </c>
      <c r="I1145" t="n">
        <v>0.09558987334875341</v>
      </c>
      <c r="J1145" t="n">
        <v>0.241976160796151</v>
      </c>
      <c r="K1145" t="n">
        <v>0.1244588587220546</v>
      </c>
      <c r="L1145" t="b">
        <v>0</v>
      </c>
      <c r="M1145" t="b">
        <v>0</v>
      </c>
      <c r="N1145" t="inlineStr">
        <is>
          <t>ref</t>
        </is>
      </c>
      <c r="O1145" t="n">
        <v>30</v>
      </c>
      <c r="P1145" t="n">
        <v>0.002266</v>
      </c>
      <c r="Q1145" t="n">
        <v>-70</v>
      </c>
      <c r="R1145" t="n">
        <v>0.0459</v>
      </c>
      <c r="S1145">
        <f>IMAGE("https://mitra.stanford.edu/kundaje/oak/projects/neuro-variants/variant_position/credible/roussos_2024/variant_figures/roussos_2024.childhood.GLU/rs34061305_count_position.png",4,220,900)</f>
        <v/>
      </c>
      <c r="T1145">
        <f>IMAGE("https://mitra.stanford.edu/kundaje/oak/projects/neuro-variants/variant_position/credible/roussos_2024/variant_figures/roussos_2024.childhood.GLU/rs34061305_profile_position.png",4,220,900)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0.0865070933999999</v>
      </c>
      <c r="G1146" t="n">
        <v>0.0658906770862113</v>
      </c>
      <c r="H1146" t="n">
        <v>0.0149044448334327</v>
      </c>
      <c r="I1146" t="n">
        <v>0.2560820175406402</v>
      </c>
      <c r="J1146" t="n">
        <v>0.1187695097200901</v>
      </c>
      <c r="K1146" t="n">
        <v>0.2229473882736823</v>
      </c>
      <c r="L1146" t="b">
        <v>0</v>
      </c>
      <c r="M1146" t="b">
        <v>0</v>
      </c>
      <c r="N1146" t="inlineStr">
        <is>
          <t>alt</t>
        </is>
      </c>
      <c r="O1146" t="n">
        <v>100</v>
      </c>
      <c r="P1146" t="n">
        <v>0.00333</v>
      </c>
      <c r="Q1146" t="n">
        <v>-90</v>
      </c>
      <c r="R1146" t="n">
        <v>0.02722</v>
      </c>
      <c r="S1146">
        <f>IMAGE("https://mitra.stanford.edu/kundaje/oak/projects/neuro-variants/variant_position/credible/roussos_2024/variant_figures/roussos_2024.childhood.GLU/rs9522088_count_position.png",4,220,900)</f>
        <v/>
      </c>
      <c r="T1146">
        <f>IMAGE("https://mitra.stanford.edu/kundaje/oak/projects/neuro-variants/variant_position/credible/roussos_2024/variant_figures/roussos_2024.childhood.GLU/rs9522088_profile_position.png",4,220,900)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-0.05390149194</v>
      </c>
      <c r="G1147" t="n">
        <v>0.0985816185452251</v>
      </c>
      <c r="H1147" t="n">
        <v>0.0326230659294346</v>
      </c>
      <c r="I1147" t="n">
        <v>0.0291898384828873</v>
      </c>
      <c r="J1147" t="n">
        <v>0.3480554668424903</v>
      </c>
      <c r="K1147" t="n">
        <v>0.07985964386350319</v>
      </c>
      <c r="L1147" t="b">
        <v>0</v>
      </c>
      <c r="M1147" t="b">
        <v>0</v>
      </c>
      <c r="N1147" t="inlineStr">
        <is>
          <t>ref</t>
        </is>
      </c>
      <c r="O1147" t="n">
        <v>90</v>
      </c>
      <c r="P1147" t="n">
        <v>0.005615</v>
      </c>
      <c r="Q1147" t="n">
        <v>-85</v>
      </c>
      <c r="R1147" t="n">
        <v>0.05493</v>
      </c>
      <c r="S1147">
        <f>IMAGE("https://mitra.stanford.edu/kundaje/oak/projects/neuro-variants/variant_position/credible/roussos_2024/variant_figures/roussos_2024.childhood.GLU/rs9515358_count_position.png",4,220,900)</f>
        <v/>
      </c>
      <c r="T1147">
        <f>IMAGE("https://mitra.stanford.edu/kundaje/oak/projects/neuro-variants/variant_position/credible/roussos_2024/variant_figures/roussos_2024.childhood.GLU/rs9515358_profile_position.png",4,220,900)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0.0515940724</v>
      </c>
      <c r="G1148" t="n">
        <v>0.1736025646609739</v>
      </c>
      <c r="H1148" t="n">
        <v>0.0262108190441859</v>
      </c>
      <c r="I1148" t="n">
        <v>0.036136612336744</v>
      </c>
      <c r="J1148" t="n">
        <v>0.0245088444064408</v>
      </c>
      <c r="K1148" t="n">
        <v>0.4589218199396699</v>
      </c>
      <c r="L1148" t="b">
        <v>0</v>
      </c>
      <c r="M1148" t="b">
        <v>0</v>
      </c>
      <c r="N1148" t="inlineStr">
        <is>
          <t>alt</t>
        </is>
      </c>
      <c r="O1148" t="n">
        <v>0</v>
      </c>
      <c r="P1148" t="n">
        <v>0</v>
      </c>
      <c r="Q1148" t="n">
        <v>5</v>
      </c>
      <c r="R1148" t="n">
        <v>0.0227</v>
      </c>
      <c r="S1148">
        <f>IMAGE("https://mitra.stanford.edu/kundaje/oak/projects/neuro-variants/variant_position/credible/roussos_2024/variant_figures/roussos_2024.childhood.GLU/rs9559947_count_position.png",4,220,900)</f>
        <v/>
      </c>
      <c r="T1148">
        <f>IMAGE("https://mitra.stanford.edu/kundaje/oak/projects/neuro-variants/variant_position/credible/roussos_2024/variant_figures/roussos_2024.childhood.GLU/rs9559947_profile_position.png",4,220,900)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-0.19968133</v>
      </c>
      <c r="G1149" t="n">
        <v>0.0083235638370611</v>
      </c>
      <c r="H1149" t="n">
        <v>0.0240067062414969</v>
      </c>
      <c r="I1149" t="n">
        <v>0.0575815623081997</v>
      </c>
      <c r="J1149" t="n">
        <v>0.2752346317492041</v>
      </c>
      <c r="K1149" t="n">
        <v>0.1082555166865429</v>
      </c>
      <c r="L1149" t="b">
        <v>1</v>
      </c>
      <c r="M1149" t="b">
        <v>1</v>
      </c>
      <c r="N1149" t="inlineStr">
        <is>
          <t>ref</t>
        </is>
      </c>
      <c r="O1149" t="n">
        <v>100</v>
      </c>
      <c r="P1149" t="n">
        <v>0.005188</v>
      </c>
      <c r="Q1149" t="n">
        <v>85</v>
      </c>
      <c r="R1149" t="n">
        <v>0.04565</v>
      </c>
      <c r="S1149">
        <f>IMAGE("https://mitra.stanford.edu/kundaje/oak/projects/neuro-variants/variant_position/credible/roussos_2024/variant_figures/roussos_2024.childhood.GLU/rs1888848_count_position.png",4,220,900)</f>
        <v/>
      </c>
      <c r="T1149">
        <f>IMAGE("https://mitra.stanford.edu/kundaje/oak/projects/neuro-variants/variant_position/credible/roussos_2024/variant_figures/roussos_2024.childhood.GLU/rs1888848_profile_position.png",4,220,900)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-0.07465990813999999</v>
      </c>
      <c r="G1150" t="n">
        <v>0.0875393207015001</v>
      </c>
      <c r="H1150" t="n">
        <v>0.0205539867501087</v>
      </c>
      <c r="I1150" t="n">
        <v>0.0909948636805351</v>
      </c>
      <c r="J1150" t="n">
        <v>0.274453727837473</v>
      </c>
      <c r="K1150" t="n">
        <v>0.1086718416856902</v>
      </c>
      <c r="L1150" t="b">
        <v>0</v>
      </c>
      <c r="M1150" t="b">
        <v>0</v>
      </c>
      <c r="N1150" t="inlineStr">
        <is>
          <t>ref</t>
        </is>
      </c>
      <c r="O1150" t="n">
        <v>100</v>
      </c>
      <c r="P1150" t="n">
        <v>0.01079</v>
      </c>
      <c r="Q1150" t="n">
        <v>80</v>
      </c>
      <c r="R1150" t="n">
        <v>0.0786</v>
      </c>
      <c r="S1150">
        <f>IMAGE("https://mitra.stanford.edu/kundaje/oak/projects/neuro-variants/variant_position/credible/roussos_2024/variant_figures/roussos_2024.childhood.GLU/rs1888847_count_position.png",4,220,900)</f>
        <v/>
      </c>
      <c r="T1150">
        <f>IMAGE("https://mitra.stanford.edu/kundaje/oak/projects/neuro-variants/variant_position/credible/roussos_2024/variant_figures/roussos_2024.childhood.GLU/rs1888847_profile_position.png",4,220,900)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0.0529540217999999</v>
      </c>
      <c r="G1151" t="n">
        <v>0.1569213058841895</v>
      </c>
      <c r="H1151" t="n">
        <v>0.0128625813864706</v>
      </c>
      <c r="I1151" t="n">
        <v>0.3851492679088736</v>
      </c>
      <c r="J1151" t="n">
        <v>0.2562395046720306</v>
      </c>
      <c r="K1151" t="n">
        <v>0.118099289948072</v>
      </c>
      <c r="L1151" t="b">
        <v>0</v>
      </c>
      <c r="M1151" t="b">
        <v>0</v>
      </c>
      <c r="N1151" t="inlineStr">
        <is>
          <t>alt</t>
        </is>
      </c>
      <c r="O1151" t="n">
        <v>85</v>
      </c>
      <c r="P1151" t="n">
        <v>0.01877</v>
      </c>
      <c r="Q1151" t="n">
        <v>-30</v>
      </c>
      <c r="R1151" t="n">
        <v>0.08716</v>
      </c>
      <c r="S1151">
        <f>IMAGE("https://mitra.stanford.edu/kundaje/oak/projects/neuro-variants/variant_position/credible/roussos_2024/variant_figures/roussos_2024.childhood.GLU/rs1810895_count_position.png",4,220,900)</f>
        <v/>
      </c>
      <c r="T1151">
        <f>IMAGE("https://mitra.stanford.edu/kundaje/oak/projects/neuro-variants/variant_position/credible/roussos_2024/variant_figures/roussos_2024.childhood.GLU/rs1810895_profile_position.png",4,220,900)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0.019219231</v>
      </c>
      <c r="G1152" t="n">
        <v>0.4607093157590071</v>
      </c>
      <c r="H1152" t="n">
        <v>0.0102890124958113</v>
      </c>
      <c r="I1152" t="n">
        <v>0.6298826943522183</v>
      </c>
      <c r="J1152" t="n">
        <v>0.0495029206630471</v>
      </c>
      <c r="K1152" t="n">
        <v>0.3524087433052054</v>
      </c>
      <c r="L1152" t="b">
        <v>0</v>
      </c>
      <c r="M1152" t="b">
        <v>0</v>
      </c>
      <c r="N1152" t="inlineStr">
        <is>
          <t>alt</t>
        </is>
      </c>
      <c r="O1152" t="n">
        <v>0</v>
      </c>
      <c r="P1152" t="n">
        <v>0</v>
      </c>
      <c r="Q1152" t="n">
        <v>-55</v>
      </c>
      <c r="R1152" t="n">
        <v>0.1279</v>
      </c>
      <c r="S1152">
        <f>IMAGE("https://mitra.stanford.edu/kundaje/oak/projects/neuro-variants/variant_position/credible/roussos_2024/variant_figures/roussos_2024.childhood.GLU/rs75592562_count_position.png",4,220,900)</f>
        <v/>
      </c>
      <c r="T1152">
        <f>IMAGE("https://mitra.stanford.edu/kundaje/oak/projects/neuro-variants/variant_position/credible/roussos_2024/variant_figures/roussos_2024.childhood.GLU/rs75592562_profile_position.png",4,220,900)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-0.000122843</v>
      </c>
      <c r="G1153" t="n">
        <v>0.2739225485818377</v>
      </c>
      <c r="H1153" t="n">
        <v>0.0104339871917256</v>
      </c>
      <c r="I1153" t="n">
        <v>0.6007870730865251</v>
      </c>
      <c r="J1153" t="n">
        <v>0.0525626629029433</v>
      </c>
      <c r="K1153" t="n">
        <v>0.3439938519084681</v>
      </c>
      <c r="L1153" t="b">
        <v>0</v>
      </c>
      <c r="M1153" t="b">
        <v>0</v>
      </c>
      <c r="N1153" t="inlineStr">
        <is>
          <t>ref</t>
        </is>
      </c>
      <c r="O1153" t="n">
        <v>-55</v>
      </c>
      <c r="P1153" t="n">
        <v>0.06537</v>
      </c>
      <c r="Q1153" t="n">
        <v>-85</v>
      </c>
      <c r="R1153" t="n">
        <v>0.0757</v>
      </c>
      <c r="S1153">
        <f>IMAGE("https://mitra.stanford.edu/kundaje/oak/projects/neuro-variants/variant_position/credible/roussos_2024/variant_figures/roussos_2024.childhood.GLU/rs74241867_count_position.png",4,220,900)</f>
        <v/>
      </c>
      <c r="T1153">
        <f>IMAGE("https://mitra.stanford.edu/kundaje/oak/projects/neuro-variants/variant_position/credible/roussos_2024/variant_figures/roussos_2024.childhood.GLU/rs74241867_profile_position.png",4,220,900)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0.0461355854</v>
      </c>
      <c r="G1154" t="n">
        <v>0.2050392117245316</v>
      </c>
      <c r="H1154" t="n">
        <v>0.0100441221340975</v>
      </c>
      <c r="I1154" t="n">
        <v>0.6270405909167872</v>
      </c>
      <c r="J1154" t="n">
        <v>0.0125717288058763</v>
      </c>
      <c r="K1154" t="n">
        <v>0.570624184416144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0.05188</v>
      </c>
      <c r="Q1154" t="n">
        <v>30</v>
      </c>
      <c r="R1154" t="n">
        <v>0.05176</v>
      </c>
      <c r="S1154">
        <f>IMAGE("https://mitra.stanford.edu/kundaje/oak/projects/neuro-variants/variant_position/credible/roussos_2024/variant_figures/roussos_2024.childhood.GLU/rs2319380_count_position.png",4,220,900)</f>
        <v/>
      </c>
      <c r="T1154">
        <f>IMAGE("https://mitra.stanford.edu/kundaje/oak/projects/neuro-variants/variant_position/credible/roussos_2024/variant_figures/roussos_2024.childhood.GLU/rs2319380_profile_position.png",4,220,900)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0.1411210839999999</v>
      </c>
      <c r="G1155" t="n">
        <v>0.0187909991656809</v>
      </c>
      <c r="H1155" t="n">
        <v>0.0392742194184495</v>
      </c>
      <c r="I1155" t="n">
        <v>0.0070149290541089</v>
      </c>
      <c r="J1155" t="n">
        <v>0.1031483408367415</v>
      </c>
      <c r="K1155" t="n">
        <v>0.2519990426073657</v>
      </c>
      <c r="L1155" t="b">
        <v>1</v>
      </c>
      <c r="M1155" t="b">
        <v>1</v>
      </c>
      <c r="N1155" t="inlineStr">
        <is>
          <t>alt</t>
        </is>
      </c>
      <c r="O1155" t="n">
        <v>-100</v>
      </c>
      <c r="P1155" t="n">
        <v>0.006775</v>
      </c>
      <c r="Q1155" t="n">
        <v>80</v>
      </c>
      <c r="R1155" t="n">
        <v>0.0713</v>
      </c>
      <c r="S1155">
        <f>IMAGE("https://mitra.stanford.edu/kundaje/oak/projects/neuro-variants/variant_position/credible/roussos_2024/variant_figures/roussos_2024.childhood.GLU/rs10146921_count_position.png",4,220,900)</f>
        <v/>
      </c>
      <c r="T1155">
        <f>IMAGE("https://mitra.stanford.edu/kundaje/oak/projects/neuro-variants/variant_position/credible/roussos_2024/variant_figures/roussos_2024.childhood.GLU/rs10146921_profile_position.png",4,220,900)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-0.0374712354</v>
      </c>
      <c r="G1156" t="n">
        <v>0.2667401623060774</v>
      </c>
      <c r="H1156" t="n">
        <v>0.0119603127133776</v>
      </c>
      <c r="I1156" t="n">
        <v>0.4561043334094817</v>
      </c>
      <c r="J1156" t="n">
        <v>0.6883513449473044</v>
      </c>
      <c r="K1156" t="n">
        <v>0.0162084056413937</v>
      </c>
      <c r="L1156" t="b">
        <v>0</v>
      </c>
      <c r="M1156" t="b">
        <v>0</v>
      </c>
      <c r="N1156" t="inlineStr">
        <is>
          <t>ref</t>
        </is>
      </c>
      <c r="O1156" t="n">
        <v>-85</v>
      </c>
      <c r="P1156" t="n">
        <v>0.007744</v>
      </c>
      <c r="Q1156" t="n">
        <v>30</v>
      </c>
      <c r="R1156" t="n">
        <v>0.03687</v>
      </c>
      <c r="S1156">
        <f>IMAGE("https://mitra.stanford.edu/kundaje/oak/projects/neuro-variants/variant_position/credible/roussos_2024/variant_figures/roussos_2024.childhood.GLU/rs12587456_count_position.png",4,220,900)</f>
        <v/>
      </c>
      <c r="T1156">
        <f>IMAGE("https://mitra.stanford.edu/kundaje/oak/projects/neuro-variants/variant_position/credible/roussos_2024/variant_figures/roussos_2024.childhood.GLU/rs12587456_profile_position.png",4,220,900)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-0.0420703672</v>
      </c>
      <c r="G1157" t="n">
        <v>0.234395664620371</v>
      </c>
      <c r="H1157" t="n">
        <v>0.0107578767152857</v>
      </c>
      <c r="I1157" t="n">
        <v>0.5781846923792543</v>
      </c>
      <c r="J1157" t="n">
        <v>0.0111520908238638</v>
      </c>
      <c r="K1157" t="n">
        <v>0.5752629135694461</v>
      </c>
      <c r="L1157" t="b">
        <v>0</v>
      </c>
      <c r="M1157" t="b">
        <v>0</v>
      </c>
      <c r="N1157" t="inlineStr">
        <is>
          <t>ref</t>
        </is>
      </c>
      <c r="O1157" t="n">
        <v>-50</v>
      </c>
      <c r="P1157" t="n">
        <v>0.003365</v>
      </c>
      <c r="Q1157" t="n">
        <v>-30</v>
      </c>
      <c r="R1157" t="n">
        <v>0.0654</v>
      </c>
      <c r="S1157">
        <f>IMAGE("https://mitra.stanford.edu/kundaje/oak/projects/neuro-variants/variant_position/credible/roussos_2024/variant_figures/roussos_2024.childhood.GLU/rs60652177_count_position.png",4,220,900)</f>
        <v/>
      </c>
      <c r="T1157">
        <f>IMAGE("https://mitra.stanford.edu/kundaje/oak/projects/neuro-variants/variant_position/credible/roussos_2024/variant_figures/roussos_2024.childhood.GLU/rs60652177_profile_position.png",4,220,900)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0.0394218884</v>
      </c>
      <c r="G1158" t="n">
        <v>0.2390730606077132</v>
      </c>
      <c r="H1158" t="n">
        <v>0.0120159079945285</v>
      </c>
      <c r="I1158" t="n">
        <v>0.4460866263336929</v>
      </c>
      <c r="J1158" t="n">
        <v>0.1165020037705913</v>
      </c>
      <c r="K1158" t="n">
        <v>0.2220233124917077</v>
      </c>
      <c r="L1158" t="b">
        <v>0</v>
      </c>
      <c r="M1158" t="b">
        <v>0</v>
      </c>
      <c r="N1158" t="inlineStr">
        <is>
          <t>alt</t>
        </is>
      </c>
      <c r="O1158" t="n">
        <v>-100</v>
      </c>
      <c r="P1158" t="n">
        <v>0.01163</v>
      </c>
      <c r="Q1158" t="n">
        <v>15</v>
      </c>
      <c r="R1158" t="n">
        <v>0.0621</v>
      </c>
      <c r="S1158">
        <f>IMAGE("https://mitra.stanford.edu/kundaje/oak/projects/neuro-variants/variant_position/credible/roussos_2024/variant_figures/roussos_2024.childhood.GLU/rs10148671_count_position.png",4,220,900)</f>
        <v/>
      </c>
      <c r="T1158">
        <f>IMAGE("https://mitra.stanford.edu/kundaje/oak/projects/neuro-variants/variant_position/credible/roussos_2024/variant_figures/roussos_2024.childhood.GLU/rs10148671_profile_position.png",4,220,900)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-0.0506059054</v>
      </c>
      <c r="G1159" t="n">
        <v>0.1830701363829319</v>
      </c>
      <c r="H1159" t="n">
        <v>0.0141089880841376</v>
      </c>
      <c r="I1159" t="n">
        <v>0.2928457437183585</v>
      </c>
      <c r="J1159" t="n">
        <v>0.0052386495925494</v>
      </c>
      <c r="K1159" t="n">
        <v>0.6669703416023418</v>
      </c>
      <c r="L1159" t="b">
        <v>0</v>
      </c>
      <c r="M1159" t="b">
        <v>0</v>
      </c>
      <c r="N1159" t="inlineStr">
        <is>
          <t>ref</t>
        </is>
      </c>
      <c r="O1159" t="n">
        <v>-95</v>
      </c>
      <c r="P1159" t="n">
        <v>0.00876</v>
      </c>
      <c r="Q1159" t="n">
        <v>25</v>
      </c>
      <c r="R1159" t="n">
        <v>0.05264</v>
      </c>
      <c r="S1159">
        <f>IMAGE("https://mitra.stanford.edu/kundaje/oak/projects/neuro-variants/variant_position/credible/roussos_2024/variant_figures/roussos_2024.childhood.GLU/rs1886456_count_position.png",4,220,900)</f>
        <v/>
      </c>
      <c r="T1159">
        <f>IMAGE("https://mitra.stanford.edu/kundaje/oak/projects/neuro-variants/variant_position/credible/roussos_2024/variant_figures/roussos_2024.childhood.GLU/rs1886456_profile_position.png",4,220,900)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0.0478621748</v>
      </c>
      <c r="G1160" t="n">
        <v>0.1855234301355702</v>
      </c>
      <c r="H1160" t="n">
        <v>0.009871678907816</v>
      </c>
      <c r="I1160" t="n">
        <v>0.6796488812022211</v>
      </c>
      <c r="J1160" t="n">
        <v>0.0019769849691449</v>
      </c>
      <c r="K1160" t="n">
        <v>0.7663283652130644</v>
      </c>
      <c r="L1160" t="b">
        <v>0</v>
      </c>
      <c r="M1160" t="b">
        <v>0</v>
      </c>
      <c r="N1160" t="inlineStr">
        <is>
          <t>alt</t>
        </is>
      </c>
      <c r="O1160" t="n">
        <v>-95</v>
      </c>
      <c r="P1160" t="n">
        <v>0.007996</v>
      </c>
      <c r="Q1160" t="n">
        <v>60</v>
      </c>
      <c r="R1160" t="n">
        <v>0.0979</v>
      </c>
      <c r="S1160">
        <f>IMAGE("https://mitra.stanford.edu/kundaje/oak/projects/neuro-variants/variant_position/credible/roussos_2024/variant_figures/roussos_2024.childhood.GLU/rs12882564_count_position.png",4,220,900)</f>
        <v/>
      </c>
      <c r="T1160">
        <f>IMAGE("https://mitra.stanford.edu/kundaje/oak/projects/neuro-variants/variant_position/credible/roussos_2024/variant_figures/roussos_2024.childhood.GLU/rs12882564_profile_position.png",4,220,900)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-0.0252381286</v>
      </c>
      <c r="G1161" t="n">
        <v>0.3665785411507288</v>
      </c>
      <c r="H1161" t="n">
        <v>0.0173470299811431</v>
      </c>
      <c r="I1161" t="n">
        <v>0.1591127211374179</v>
      </c>
      <c r="J1161" t="n">
        <v>0.0002864001153841</v>
      </c>
      <c r="K1161" t="n">
        <v>0.8966784167108401</v>
      </c>
      <c r="L1161" t="b">
        <v>0</v>
      </c>
      <c r="M1161" t="b">
        <v>0</v>
      </c>
      <c r="N1161" t="inlineStr">
        <is>
          <t>ref</t>
        </is>
      </c>
      <c r="O1161" t="n">
        <v>-90</v>
      </c>
      <c r="P1161" t="n">
        <v>0.001785</v>
      </c>
      <c r="Q1161" t="n">
        <v>-20</v>
      </c>
      <c r="R1161" t="n">
        <v>0.02252</v>
      </c>
      <c r="S1161">
        <f>IMAGE("https://mitra.stanford.edu/kundaje/oak/projects/neuro-variants/variant_position/credible/roussos_2024/variant_figures/roussos_2024.childhood.GLU/rs1956235_count_position.png",4,220,900)</f>
        <v/>
      </c>
      <c r="T1161">
        <f>IMAGE("https://mitra.stanford.edu/kundaje/oak/projects/neuro-variants/variant_position/credible/roussos_2024/variant_figures/roussos_2024.childhood.GLU/rs1956235_profile_position.png",4,220,900)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-0.0194893108</v>
      </c>
      <c r="G1162" t="n">
        <v>0.4659667029436845</v>
      </c>
      <c r="H1162" t="n">
        <v>0.0303193204950513</v>
      </c>
      <c r="I1162" t="n">
        <v>0.0203436334852549</v>
      </c>
      <c r="J1162" t="n">
        <v>0.0004563857953783</v>
      </c>
      <c r="K1162" t="n">
        <v>0.8852778586117206</v>
      </c>
      <c r="L1162" t="b">
        <v>0</v>
      </c>
      <c r="M1162" t="b">
        <v>0</v>
      </c>
      <c r="N1162" t="inlineStr">
        <is>
          <t>ref</t>
        </is>
      </c>
      <c r="O1162" t="n">
        <v>-90</v>
      </c>
      <c r="P1162" t="n">
        <v>0.00686</v>
      </c>
      <c r="Q1162" t="n">
        <v>-65</v>
      </c>
      <c r="R1162" t="n">
        <v>0.1604</v>
      </c>
      <c r="S1162">
        <f>IMAGE("https://mitra.stanford.edu/kundaje/oak/projects/neuro-variants/variant_position/credible/roussos_2024/variant_figures/roussos_2024.childhood.GLU/rs4636809_count_position.png",4,220,900)</f>
        <v/>
      </c>
      <c r="T1162">
        <f>IMAGE("https://mitra.stanford.edu/kundaje/oak/projects/neuro-variants/variant_position/credible/roussos_2024/variant_figures/roussos_2024.childhood.GLU/rs4636809_profile_position.png",4,220,900)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0.037091132</v>
      </c>
      <c r="G1163" t="n">
        <v>0.2555138964480485</v>
      </c>
      <c r="H1163" t="n">
        <v>0.0225233624460318</v>
      </c>
      <c r="I1163" t="n">
        <v>0.0661278508299543</v>
      </c>
      <c r="J1163" t="n">
        <v>0.0397189570090761</v>
      </c>
      <c r="K1163" t="n">
        <v>0.3863557181726128</v>
      </c>
      <c r="L1163" t="b">
        <v>0</v>
      </c>
      <c r="M1163" t="b">
        <v>0</v>
      </c>
      <c r="N1163" t="inlineStr">
        <is>
          <t>alt</t>
        </is>
      </c>
      <c r="O1163" t="n">
        <v>70</v>
      </c>
      <c r="P1163" t="n">
        <v>0.01521</v>
      </c>
      <c r="Q1163" t="n">
        <v>100</v>
      </c>
      <c r="R1163" t="n">
        <v>0.2278</v>
      </c>
      <c r="S1163">
        <f>IMAGE("https://mitra.stanford.edu/kundaje/oak/projects/neuro-variants/variant_position/credible/roussos_2024/variant_figures/roussos_2024.childhood.GLU/rs1191547_count_position.png",4,220,900)</f>
        <v/>
      </c>
      <c r="T1163">
        <f>IMAGE("https://mitra.stanford.edu/kundaje/oak/projects/neuro-variants/variant_position/credible/roussos_2024/variant_figures/roussos_2024.childhood.GLU/rs1191547_profile_position.png",4,220,900)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0.191751404</v>
      </c>
      <c r="G1164" t="n">
        <v>0.0090147013725863</v>
      </c>
      <c r="H1164" t="n">
        <v>0.032964602957426</v>
      </c>
      <c r="I1164" t="n">
        <v>0.0155914261020466</v>
      </c>
      <c r="J1164" t="n">
        <v>0.3358597669650859</v>
      </c>
      <c r="K1164" t="n">
        <v>0.083563148025529</v>
      </c>
      <c r="L1164" t="b">
        <v>1</v>
      </c>
      <c r="M1164" t="b">
        <v>1</v>
      </c>
      <c r="N1164" t="inlineStr">
        <is>
          <t>alt</t>
        </is>
      </c>
      <c r="O1164" t="n">
        <v>55</v>
      </c>
      <c r="P1164" t="n">
        <v>0.004807</v>
      </c>
      <c r="Q1164" t="n">
        <v>-95</v>
      </c>
      <c r="R1164" t="n">
        <v>0.1586</v>
      </c>
      <c r="S1164">
        <f>IMAGE("https://mitra.stanford.edu/kundaje/oak/projects/neuro-variants/variant_position/credible/roussos_2024/variant_figures/roussos_2024.childhood.GLU/rs3783301_count_position.png",4,220,900)</f>
        <v/>
      </c>
      <c r="T1164">
        <f>IMAGE("https://mitra.stanford.edu/kundaje/oak/projects/neuro-variants/variant_position/credible/roussos_2024/variant_figures/roussos_2024.childhood.GLU/rs3783301_profile_position.png",4,220,900)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0.011216078352</v>
      </c>
      <c r="G1165" t="n">
        <v>0.6458084246114912</v>
      </c>
      <c r="H1165" t="n">
        <v>0.0235060781170308</v>
      </c>
      <c r="I1165" t="n">
        <v>0.0610188311524082</v>
      </c>
      <c r="J1165" t="n">
        <v>0.0261530695292941</v>
      </c>
      <c r="K1165" t="n">
        <v>0.4571393301336554</v>
      </c>
      <c r="L1165" t="b">
        <v>0</v>
      </c>
      <c r="M1165" t="b">
        <v>0</v>
      </c>
      <c r="N1165" t="inlineStr">
        <is>
          <t>alt</t>
        </is>
      </c>
      <c r="O1165" t="n">
        <v>90</v>
      </c>
      <c r="P1165" t="n">
        <v>0.008765999999999999</v>
      </c>
      <c r="Q1165" t="n">
        <v>-45</v>
      </c>
      <c r="R1165" t="n">
        <v>0.1185</v>
      </c>
      <c r="S1165">
        <f>IMAGE("https://mitra.stanford.edu/kundaje/oak/projects/neuro-variants/variant_position/credible/roussos_2024/variant_figures/roussos_2024.childhood.GLU/rs10149921_count_position.png",4,220,900)</f>
        <v/>
      </c>
      <c r="T1165">
        <f>IMAGE("https://mitra.stanford.edu/kundaje/oak/projects/neuro-variants/variant_position/credible/roussos_2024/variant_figures/roussos_2024.childhood.GLU/rs10149921_profile_position.png",4,220,900)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0.00385604508</v>
      </c>
      <c r="G1166" t="n">
        <v>0.8347413006267626</v>
      </c>
      <c r="H1166" t="n">
        <v>0.0217128902934072</v>
      </c>
      <c r="I1166" t="n">
        <v>0.0732013969303075</v>
      </c>
      <c r="J1166" t="n">
        <v>0.008156221990995799</v>
      </c>
      <c r="K1166" t="n">
        <v>0.6105091145371087</v>
      </c>
      <c r="L1166" t="b">
        <v>0</v>
      </c>
      <c r="M1166" t="b">
        <v>0</v>
      </c>
      <c r="N1166" t="inlineStr">
        <is>
          <t>alt</t>
        </is>
      </c>
      <c r="O1166" t="n">
        <v>25</v>
      </c>
      <c r="P1166" t="n">
        <v>0.003803</v>
      </c>
      <c r="Q1166" t="n">
        <v>-85</v>
      </c>
      <c r="R1166" t="n">
        <v>0.03772</v>
      </c>
      <c r="S1166">
        <f>IMAGE("https://mitra.stanford.edu/kundaje/oak/projects/neuro-variants/variant_position/credible/roussos_2024/variant_figures/roussos_2024.childhood.GLU/rs7158984_count_position.png",4,220,900)</f>
        <v/>
      </c>
      <c r="T1166">
        <f>IMAGE("https://mitra.stanford.edu/kundaje/oak/projects/neuro-variants/variant_position/credible/roussos_2024/variant_figures/roussos_2024.childhood.GLU/rs7158984_profile_position.png",4,220,900)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-0.0753120692</v>
      </c>
      <c r="G1167" t="n">
        <v>0.092797368035206</v>
      </c>
      <c r="H1167" t="n">
        <v>0.0197247067955837</v>
      </c>
      <c r="I1167" t="n">
        <v>0.1021148333895729</v>
      </c>
      <c r="J1167" t="n">
        <v>0.0739705564197924</v>
      </c>
      <c r="K1167" t="n">
        <v>0.2877011104719191</v>
      </c>
      <c r="L1167" t="b">
        <v>0</v>
      </c>
      <c r="M1167" t="b">
        <v>0</v>
      </c>
      <c r="N1167" t="inlineStr">
        <is>
          <t>ref</t>
        </is>
      </c>
      <c r="O1167" t="n">
        <v>80</v>
      </c>
      <c r="P1167" t="n">
        <v>0.011566</v>
      </c>
      <c r="Q1167" t="n">
        <v>-50</v>
      </c>
      <c r="R1167" t="n">
        <v>0.12354</v>
      </c>
      <c r="S1167">
        <f>IMAGE("https://mitra.stanford.edu/kundaje/oak/projects/neuro-variants/variant_position/credible/roussos_2024/variant_figures/roussos_2024.childhood.GLU/rs10150918_count_position.png",4,220,900)</f>
        <v/>
      </c>
      <c r="T1167">
        <f>IMAGE("https://mitra.stanford.edu/kundaje/oak/projects/neuro-variants/variant_position/credible/roussos_2024/variant_figures/roussos_2024.childhood.GLU/rs10150918_profile_position.png",4,220,900)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0.09634274499999999</v>
      </c>
      <c r="G1168" t="n">
        <v>0.0520784519008342</v>
      </c>
      <c r="H1168" t="n">
        <v>0.0253486558114623</v>
      </c>
      <c r="I1168" t="n">
        <v>0.0418396718588835</v>
      </c>
      <c r="J1168" t="n">
        <v>0.2302440582278219</v>
      </c>
      <c r="K1168" t="n">
        <v>0.1324118177566118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0.08</v>
      </c>
      <c r="Q1168" t="n">
        <v>95</v>
      </c>
      <c r="R1168" t="n">
        <v>0.879</v>
      </c>
      <c r="S1168">
        <f>IMAGE("https://mitra.stanford.edu/kundaje/oak/projects/neuro-variants/variant_position/credible/roussos_2024/variant_figures/roussos_2024.childhood.GLU/rs959388_count_position.png",4,220,900)</f>
        <v/>
      </c>
      <c r="T1168">
        <f>IMAGE("https://mitra.stanford.edu/kundaje/oak/projects/neuro-variants/variant_position/credible/roussos_2024/variant_figures/roussos_2024.childhood.GLU/rs959388_profile_position.png",4,220,900)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-0.0457094146</v>
      </c>
      <c r="G1169" t="n">
        <v>0.2202130767097483</v>
      </c>
      <c r="H1169" t="n">
        <v>0.0249851698914284</v>
      </c>
      <c r="I1169" t="n">
        <v>0.044898012113494</v>
      </c>
      <c r="J1169" t="n">
        <v>0.0158498768891589</v>
      </c>
      <c r="K1169" t="n">
        <v>0.5274741695291061</v>
      </c>
      <c r="L1169" t="b">
        <v>0</v>
      </c>
      <c r="M1169" t="b">
        <v>0</v>
      </c>
      <c r="N1169" t="inlineStr">
        <is>
          <t>ref</t>
        </is>
      </c>
      <c r="O1169" t="n">
        <v>-95</v>
      </c>
      <c r="P1169" t="n">
        <v>0.005566</v>
      </c>
      <c r="Q1169" t="n">
        <v>-95</v>
      </c>
      <c r="R1169" t="n">
        <v>0.0948</v>
      </c>
      <c r="S1169">
        <f>IMAGE("https://mitra.stanford.edu/kundaje/oak/projects/neuro-variants/variant_position/credible/roussos_2024/variant_figures/roussos_2024.childhood.GLU/rs7140901_count_position.png",4,220,900)</f>
        <v/>
      </c>
      <c r="T1169">
        <f>IMAGE("https://mitra.stanford.edu/kundaje/oak/projects/neuro-variants/variant_position/credible/roussos_2024/variant_figures/roussos_2024.childhood.GLU/rs7140901_profile_position.png",4,220,900)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0.0248007571536</v>
      </c>
      <c r="G1170" t="n">
        <v>0.3990907523282533</v>
      </c>
      <c r="H1170" t="n">
        <v>0.0255219084587733</v>
      </c>
      <c r="I1170" t="n">
        <v>0.0414911750958385</v>
      </c>
      <c r="J1170" t="n">
        <v>0.0001874993561147</v>
      </c>
      <c r="K1170" t="n">
        <v>0.9236253435333368</v>
      </c>
      <c r="L1170" t="b">
        <v>0</v>
      </c>
      <c r="M1170" t="b">
        <v>0</v>
      </c>
      <c r="N1170" t="inlineStr">
        <is>
          <t>alt</t>
        </is>
      </c>
      <c r="O1170" t="n">
        <v>85</v>
      </c>
      <c r="P1170" t="n">
        <v>0.00569</v>
      </c>
      <c r="Q1170" t="n">
        <v>100</v>
      </c>
      <c r="R1170" t="n">
        <v>0.05154</v>
      </c>
      <c r="S1170">
        <f>IMAGE("https://mitra.stanford.edu/kundaje/oak/projects/neuro-variants/variant_position/credible/roussos_2024/variant_figures/roussos_2024.childhood.GLU/rs17440692_count_position.png",4,220,900)</f>
        <v/>
      </c>
      <c r="T1170">
        <f>IMAGE("https://mitra.stanford.edu/kundaje/oak/projects/neuro-variants/variant_position/credible/roussos_2024/variant_figures/roussos_2024.childhood.GLU/rs17440692_profile_position.png",4,220,900)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-0.00283905176</v>
      </c>
      <c r="G1171" t="n">
        <v>0.7700288269674427</v>
      </c>
      <c r="H1171" t="n">
        <v>0.0221942353140923</v>
      </c>
      <c r="I1171" t="n">
        <v>0.0671574062811667</v>
      </c>
      <c r="J1171" t="n">
        <v>0.0005171685536793</v>
      </c>
      <c r="K1171" t="n">
        <v>0.8661954870221351</v>
      </c>
      <c r="L1171" t="b">
        <v>0</v>
      </c>
      <c r="M1171" t="b">
        <v>0</v>
      </c>
      <c r="N1171" t="inlineStr">
        <is>
          <t>ref</t>
        </is>
      </c>
      <c r="O1171" t="n">
        <v>85</v>
      </c>
      <c r="P1171" t="n">
        <v>0.00856</v>
      </c>
      <c r="Q1171" t="n">
        <v>40</v>
      </c>
      <c r="R1171" t="n">
        <v>0.1339</v>
      </c>
      <c r="S1171">
        <f>IMAGE("https://mitra.stanford.edu/kundaje/oak/projects/neuro-variants/variant_position/credible/roussos_2024/variant_figures/roussos_2024.childhood.GLU/rs73266980_count_position.png",4,220,900)</f>
        <v/>
      </c>
      <c r="T1171">
        <f>IMAGE("https://mitra.stanford.edu/kundaje/oak/projects/neuro-variants/variant_position/credible/roussos_2024/variant_figures/roussos_2024.childhood.GLU/rs73266980_profile_position.png",4,220,900)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-0.0195743306</v>
      </c>
      <c r="G1172" t="n">
        <v>0.4809684764272109</v>
      </c>
      <c r="H1172" t="n">
        <v>0.0322101115904096</v>
      </c>
      <c r="I1172" t="n">
        <v>0.0159423725520404</v>
      </c>
      <c r="J1172" t="n">
        <v>0.0030741652672895</v>
      </c>
      <c r="K1172" t="n">
        <v>0.7274770418946606</v>
      </c>
      <c r="L1172" t="b">
        <v>0</v>
      </c>
      <c r="M1172" t="b">
        <v>0</v>
      </c>
      <c r="N1172" t="inlineStr">
        <is>
          <t>ref</t>
        </is>
      </c>
      <c r="O1172" t="n">
        <v>-15</v>
      </c>
      <c r="P1172" t="n">
        <v>0.002045</v>
      </c>
      <c r="Q1172" t="n">
        <v>55</v>
      </c>
      <c r="R1172" t="n">
        <v>0.06433</v>
      </c>
      <c r="S1172">
        <f>IMAGE("https://mitra.stanford.edu/kundaje/oak/projects/neuro-variants/variant_position/credible/roussos_2024/variant_figures/roussos_2024.childhood.GLU/rs12882859_count_position.png",4,220,900)</f>
        <v/>
      </c>
      <c r="T1172">
        <f>IMAGE("https://mitra.stanford.edu/kundaje/oak/projects/neuro-variants/variant_position/credible/roussos_2024/variant_figures/roussos_2024.childhood.GLU/rs12882859_profile_position.png",4,220,900)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0.0585260623999999</v>
      </c>
      <c r="G1173" t="n">
        <v>0.1348554399158974</v>
      </c>
      <c r="H1173" t="n">
        <v>0.012478494743664</v>
      </c>
      <c r="I1173" t="n">
        <v>0.4039982570996516</v>
      </c>
      <c r="J1173" t="n">
        <v>0.0235600152472003</v>
      </c>
      <c r="K1173" t="n">
        <v>0.4690574096937263</v>
      </c>
      <c r="L1173" t="b">
        <v>0</v>
      </c>
      <c r="M1173" t="b">
        <v>0</v>
      </c>
      <c r="N1173" t="inlineStr">
        <is>
          <t>alt</t>
        </is>
      </c>
      <c r="O1173" t="n">
        <v>80</v>
      </c>
      <c r="P1173" t="n">
        <v>0.0017395</v>
      </c>
      <c r="Q1173" t="n">
        <v>85</v>
      </c>
      <c r="R1173" t="n">
        <v>0.1743</v>
      </c>
      <c r="S1173">
        <f>IMAGE("https://mitra.stanford.edu/kundaje/oak/projects/neuro-variants/variant_position/credible/roussos_2024/variant_figures/roussos_2024.childhood.GLU/rs12894833_count_position.png",4,220,900)</f>
        <v/>
      </c>
      <c r="T1173">
        <f>IMAGE("https://mitra.stanford.edu/kundaje/oak/projects/neuro-variants/variant_position/credible/roussos_2024/variant_figures/roussos_2024.childhood.GLU/rs12894833_profile_position.png",4,220,900)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0.00949524048</v>
      </c>
      <c r="G1174" t="n">
        <v>0.6571970020489964</v>
      </c>
      <c r="H1174" t="n">
        <v>0.0120320289246883</v>
      </c>
      <c r="I1174" t="n">
        <v>0.4527343975719776</v>
      </c>
      <c r="J1174" t="n">
        <v>0.0182348274902901</v>
      </c>
      <c r="K1174" t="n">
        <v>0.5063167236048941</v>
      </c>
      <c r="L1174" t="b">
        <v>0</v>
      </c>
      <c r="M1174" t="b">
        <v>0</v>
      </c>
      <c r="N1174" t="inlineStr">
        <is>
          <t>alt</t>
        </is>
      </c>
      <c r="O1174" t="n">
        <v>-90</v>
      </c>
      <c r="P1174" t="n">
        <v>0.01724</v>
      </c>
      <c r="Q1174" t="n">
        <v>-90</v>
      </c>
      <c r="R1174" t="n">
        <v>0.1815</v>
      </c>
      <c r="S1174">
        <f>IMAGE("https://mitra.stanford.edu/kundaje/oak/projects/neuro-variants/variant_position/credible/roussos_2024/variant_figures/roussos_2024.childhood.GLU/rs12896446_count_position.png",4,220,900)</f>
        <v/>
      </c>
      <c r="T1174">
        <f>IMAGE("https://mitra.stanford.edu/kundaje/oak/projects/neuro-variants/variant_position/credible/roussos_2024/variant_figures/roussos_2024.childhood.GLU/rs12896446_profile_position.png",4,220,900)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-0.01749675534</v>
      </c>
      <c r="G1175" t="n">
        <v>0.4956752711182909</v>
      </c>
      <c r="H1175" t="n">
        <v>0.0257790237414536</v>
      </c>
      <c r="I1175" t="n">
        <v>0.0381596157709886</v>
      </c>
      <c r="J1175" t="n">
        <v>0.0266022438109758</v>
      </c>
      <c r="K1175" t="n">
        <v>0.4453878105002575</v>
      </c>
      <c r="L1175" t="b">
        <v>0</v>
      </c>
      <c r="M1175" t="b">
        <v>0</v>
      </c>
      <c r="N1175" t="inlineStr">
        <is>
          <t>ref</t>
        </is>
      </c>
      <c r="O1175" t="n">
        <v>35</v>
      </c>
      <c r="P1175" t="n">
        <v>0.003754</v>
      </c>
      <c r="Q1175" t="n">
        <v>100</v>
      </c>
      <c r="R1175" t="n">
        <v>0.0583</v>
      </c>
      <c r="S1175">
        <f>IMAGE("https://mitra.stanford.edu/kundaje/oak/projects/neuro-variants/variant_position/credible/roussos_2024/variant_figures/roussos_2024.childhood.GLU/rs7140259_count_position.png",4,220,900)</f>
        <v/>
      </c>
      <c r="T1175">
        <f>IMAGE("https://mitra.stanford.edu/kundaje/oak/projects/neuro-variants/variant_position/credible/roussos_2024/variant_figures/roussos_2024.childhood.GLU/rs7140259_profile_position.png",4,220,900)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-0.0259541529</v>
      </c>
      <c r="G1176" t="n">
        <v>0.4036603134014312</v>
      </c>
      <c r="H1176" t="n">
        <v>0.0303547664965571</v>
      </c>
      <c r="I1176" t="n">
        <v>0.0205964344115629</v>
      </c>
      <c r="J1176" t="n">
        <v>0.0595629822699784</v>
      </c>
      <c r="K1176" t="n">
        <v>0.3216007770181568</v>
      </c>
      <c r="L1176" t="b">
        <v>0</v>
      </c>
      <c r="M1176" t="b">
        <v>0</v>
      </c>
      <c r="N1176" t="inlineStr">
        <is>
          <t>ref</t>
        </is>
      </c>
      <c r="O1176" t="n">
        <v>45</v>
      </c>
      <c r="P1176" t="n">
        <v>0.0313</v>
      </c>
      <c r="Q1176" t="n">
        <v>-10</v>
      </c>
      <c r="R1176" t="n">
        <v>0.01563</v>
      </c>
      <c r="S1176">
        <f>IMAGE("https://mitra.stanford.edu/kundaje/oak/projects/neuro-variants/variant_position/credible/roussos_2024/variant_figures/roussos_2024.childhood.GLU/rs7161135_count_position.png",4,220,900)</f>
        <v/>
      </c>
      <c r="T1176">
        <f>IMAGE("https://mitra.stanford.edu/kundaje/oak/projects/neuro-variants/variant_position/credible/roussos_2024/variant_figures/roussos_2024.childhood.GLU/rs7161135_profile_position.png",4,220,900)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-0.112616848</v>
      </c>
      <c r="G1177" t="n">
        <v>0.0352319849158562</v>
      </c>
      <c r="H1177" t="n">
        <v>0.0305801250360241</v>
      </c>
      <c r="I1177" t="n">
        <v>0.021337648981923</v>
      </c>
      <c r="J1177" t="n">
        <v>0.0094285390503466</v>
      </c>
      <c r="K1177" t="n">
        <v>0.595390176175752</v>
      </c>
      <c r="L1177" t="b">
        <v>0</v>
      </c>
      <c r="M1177" t="b">
        <v>0</v>
      </c>
      <c r="N1177" t="inlineStr">
        <is>
          <t>ref</t>
        </is>
      </c>
      <c r="O1177" t="n">
        <v>85</v>
      </c>
      <c r="P1177" t="n">
        <v>0.01015</v>
      </c>
      <c r="Q1177" t="n">
        <v>-90</v>
      </c>
      <c r="R1177" t="n">
        <v>0.04993</v>
      </c>
      <c r="S1177">
        <f>IMAGE("https://mitra.stanford.edu/kundaje/oak/projects/neuro-variants/variant_position/credible/roussos_2024/variant_figures/roussos_2024.childhood.GLU/rs12434588_count_position.png",4,220,900)</f>
        <v/>
      </c>
      <c r="T1177">
        <f>IMAGE("https://mitra.stanford.edu/kundaje/oak/projects/neuro-variants/variant_position/credible/roussos_2024/variant_figures/roussos_2024.childhood.GLU/rs12434588_profile_position.png",4,220,900)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0.1822776599999999</v>
      </c>
      <c r="G1178" t="n">
        <v>0.0130790141363336</v>
      </c>
      <c r="H1178" t="n">
        <v>0.0296436260401102</v>
      </c>
      <c r="I1178" t="n">
        <v>0.0222571752478537</v>
      </c>
      <c r="J1178" t="n">
        <v>0.3197780914213893</v>
      </c>
      <c r="K1178" t="n">
        <v>0.0902508408950977</v>
      </c>
      <c r="L1178" t="b">
        <v>1</v>
      </c>
      <c r="M1178" t="b">
        <v>0</v>
      </c>
      <c r="N1178" t="inlineStr">
        <is>
          <t>alt</t>
        </is>
      </c>
      <c r="O1178" t="n">
        <v>-80</v>
      </c>
      <c r="P1178" t="n">
        <v>0.0152</v>
      </c>
      <c r="Q1178" t="n">
        <v>-70</v>
      </c>
      <c r="R1178" t="n">
        <v>0.1157</v>
      </c>
      <c r="S1178">
        <f>IMAGE("https://mitra.stanford.edu/kundaje/oak/projects/neuro-variants/variant_position/credible/roussos_2024/variant_figures/roussos_2024.childhood.GLU/rs12887688_count_position.png",4,220,900)</f>
        <v/>
      </c>
      <c r="T1178">
        <f>IMAGE("https://mitra.stanford.edu/kundaje/oak/projects/neuro-variants/variant_position/credible/roussos_2024/variant_figures/roussos_2024.childhood.GLU/rs12887688_profile_position.png",4,220,900)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-0.0446916111999999</v>
      </c>
      <c r="G1179" t="n">
        <v>0.2235802070557519</v>
      </c>
      <c r="H1179" t="n">
        <v>0.0166737417777691</v>
      </c>
      <c r="I1179" t="n">
        <v>0.1858516394959583</v>
      </c>
      <c r="J1179" t="n">
        <v>0.0147011857788949</v>
      </c>
      <c r="K1179" t="n">
        <v>0.536702531568371</v>
      </c>
      <c r="L1179" t="b">
        <v>0</v>
      </c>
      <c r="M1179" t="b">
        <v>0</v>
      </c>
      <c r="N1179" t="inlineStr">
        <is>
          <t>ref</t>
        </is>
      </c>
      <c r="O1179" t="n">
        <v>0</v>
      </c>
      <c r="P1179" t="n">
        <v>0</v>
      </c>
      <c r="Q1179" t="n">
        <v>-55</v>
      </c>
      <c r="R1179" t="n">
        <v>0.00525</v>
      </c>
      <c r="S1179">
        <f>IMAGE("https://mitra.stanford.edu/kundaje/oak/projects/neuro-variants/variant_position/credible/roussos_2024/variant_figures/roussos_2024.childhood.GLU/rs10133628_count_position.png",4,220,900)</f>
        <v/>
      </c>
      <c r="T1179">
        <f>IMAGE("https://mitra.stanford.edu/kundaje/oak/projects/neuro-variants/variant_position/credible/roussos_2024/variant_figures/roussos_2024.childhood.GLU/rs10133628_profile_position.png",4,220,900)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-0.0039203044539999</v>
      </c>
      <c r="G1180" t="n">
        <v>0.8008331979450232</v>
      </c>
      <c r="H1180" t="n">
        <v>0.0157364104093682</v>
      </c>
      <c r="I1180" t="n">
        <v>0.220966608068609</v>
      </c>
      <c r="J1180" t="n">
        <v>0.0031751264590437</v>
      </c>
      <c r="K1180" t="n">
        <v>0.7556498576222331</v>
      </c>
      <c r="L1180" t="b">
        <v>0</v>
      </c>
      <c r="M1180" t="b">
        <v>0</v>
      </c>
      <c r="N1180" t="inlineStr">
        <is>
          <t>ref</t>
        </is>
      </c>
      <c r="O1180" t="n">
        <v>-85</v>
      </c>
      <c r="P1180" t="n">
        <v>0.02345</v>
      </c>
      <c r="Q1180" t="n">
        <v>100</v>
      </c>
      <c r="R1180" t="n">
        <v>0.1056</v>
      </c>
      <c r="S1180">
        <f>IMAGE("https://mitra.stanford.edu/kundaje/oak/projects/neuro-variants/variant_position/credible/roussos_2024/variant_figures/roussos_2024.childhood.GLU/rs72474105_count_position.png",4,220,900)</f>
        <v/>
      </c>
      <c r="T1180">
        <f>IMAGE("https://mitra.stanford.edu/kundaje/oak/projects/neuro-variants/variant_position/credible/roussos_2024/variant_figures/roussos_2024.childhood.GLU/rs72474105_profile_position.png",4,220,900)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-0.0783598524</v>
      </c>
      <c r="G1181" t="n">
        <v>0.09537486660403981</v>
      </c>
      <c r="H1181" t="n">
        <v>0.022163142429984</v>
      </c>
      <c r="I1181" t="n">
        <v>0.0715029191949105</v>
      </c>
      <c r="J1181" t="n">
        <v>0.2350397148361441</v>
      </c>
      <c r="K1181" t="n">
        <v>0.1282676928128009</v>
      </c>
      <c r="L1181" t="b">
        <v>0</v>
      </c>
      <c r="M1181" t="b">
        <v>0</v>
      </c>
      <c r="N1181" t="inlineStr">
        <is>
          <t>ref</t>
        </is>
      </c>
      <c r="O1181" t="n">
        <v>-50</v>
      </c>
      <c r="P1181" t="n">
        <v>0.012085</v>
      </c>
      <c r="Q1181" t="n">
        <v>-55</v>
      </c>
      <c r="R1181" t="n">
        <v>0.2368</v>
      </c>
      <c r="S1181">
        <f>IMAGE("https://mitra.stanford.edu/kundaje/oak/projects/neuro-variants/variant_position/credible/roussos_2024/variant_figures/roussos_2024.childhood.GLU/rs61985092_count_position.png",4,220,900)</f>
        <v/>
      </c>
      <c r="T1181">
        <f>IMAGE("https://mitra.stanford.edu/kundaje/oak/projects/neuro-variants/variant_position/credible/roussos_2024/variant_figures/roussos_2024.childhood.GLU/rs61985092_profile_position.png",4,220,900)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0.0413271502</v>
      </c>
      <c r="G1182" t="n">
        <v>0.2332470937044247</v>
      </c>
      <c r="H1182" t="n">
        <v>0.009614580445401401</v>
      </c>
      <c r="I1182" t="n">
        <v>0.7039669196350914</v>
      </c>
      <c r="J1182" t="n">
        <v>0.1634304140439077</v>
      </c>
      <c r="K1182" t="n">
        <v>0.181797937035373</v>
      </c>
      <c r="L1182" t="b">
        <v>0</v>
      </c>
      <c r="M1182" t="b">
        <v>0</v>
      </c>
      <c r="N1182" t="inlineStr">
        <is>
          <t>alt</t>
        </is>
      </c>
      <c r="O1182" t="n">
        <v>-100</v>
      </c>
      <c r="P1182" t="n">
        <v>0.03766</v>
      </c>
      <c r="Q1182" t="n">
        <v>-85</v>
      </c>
      <c r="R1182" t="n">
        <v>0.148</v>
      </c>
      <c r="S1182">
        <f>IMAGE("https://mitra.stanford.edu/kundaje/oak/projects/neuro-variants/variant_position/credible/roussos_2024/variant_figures/roussos_2024.childhood.GLU/rs75682793_count_position.png",4,220,900)</f>
        <v/>
      </c>
      <c r="T1182">
        <f>IMAGE("https://mitra.stanford.edu/kundaje/oak/projects/neuro-variants/variant_position/credible/roussos_2024/variant_figures/roussos_2024.childhood.GLU/rs75682793_profile_position.png",4,220,900)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0.00833159864</v>
      </c>
      <c r="G1183" t="n">
        <v>0.5726253491739843</v>
      </c>
      <c r="H1183" t="n">
        <v>0.0073736125779504</v>
      </c>
      <c r="I1183" t="n">
        <v>0.9225164310256626</v>
      </c>
      <c r="J1183" t="n">
        <v>0.0391111294260664</v>
      </c>
      <c r="K1183" t="n">
        <v>0.3866145006351504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0.02472</v>
      </c>
      <c r="Q1183" t="n">
        <v>65</v>
      </c>
      <c r="R1183" t="n">
        <v>0.115</v>
      </c>
      <c r="S1183">
        <f>IMAGE("https://mitra.stanford.edu/kundaje/oak/projects/neuro-variants/variant_position/credible/roussos_2024/variant_figures/roussos_2024.childhood.GLU/rs112261101_count_position.png",4,220,900)</f>
        <v/>
      </c>
      <c r="T1183">
        <f>IMAGE("https://mitra.stanford.edu/kundaje/oak/projects/neuro-variants/variant_position/credible/roussos_2024/variant_figures/roussos_2024.childhood.GLU/rs112261101_profile_position.png",4,220,900)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-0.0804085428</v>
      </c>
      <c r="G1184" t="n">
        <v>0.0780783831703581</v>
      </c>
      <c r="H1184" t="n">
        <v>0.0167687400083847</v>
      </c>
      <c r="I1184" t="n">
        <v>0.1845943426852767</v>
      </c>
      <c r="J1184" t="n">
        <v>0.0699990728053818</v>
      </c>
      <c r="K1184" t="n">
        <v>0.2965268887222612</v>
      </c>
      <c r="L1184" t="b">
        <v>0</v>
      </c>
      <c r="M1184" t="b">
        <v>0</v>
      </c>
      <c r="N1184" t="inlineStr">
        <is>
          <t>ref</t>
        </is>
      </c>
      <c r="O1184" t="n">
        <v>-40</v>
      </c>
      <c r="P1184" t="n">
        <v>0.009339999999999999</v>
      </c>
      <c r="Q1184" t="n">
        <v>100</v>
      </c>
      <c r="R1184" t="n">
        <v>0.1487</v>
      </c>
      <c r="S1184">
        <f>IMAGE("https://mitra.stanford.edu/kundaje/oak/projects/neuro-variants/variant_position/credible/roussos_2024/variant_figures/roussos_2024.childhood.GLU/rs113869004_count_position.png",4,220,900)</f>
        <v/>
      </c>
      <c r="T1184">
        <f>IMAGE("https://mitra.stanford.edu/kundaje/oak/projects/neuro-variants/variant_position/credible/roussos_2024/variant_figures/roussos_2024.childhood.GLU/rs113869004_profile_position.png",4,220,900)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-0.0354233937999999</v>
      </c>
      <c r="G1185" t="n">
        <v>0.2256773985603042</v>
      </c>
      <c r="H1185" t="n">
        <v>0.0120824513296526</v>
      </c>
      <c r="I1185" t="n">
        <v>0.4442342364652926</v>
      </c>
      <c r="J1185" t="n">
        <v>0.0615770550238494</v>
      </c>
      <c r="K1185" t="n">
        <v>0.3166555004175286</v>
      </c>
      <c r="L1185" t="b">
        <v>0</v>
      </c>
      <c r="M1185" t="b">
        <v>0</v>
      </c>
      <c r="N1185" t="inlineStr">
        <is>
          <t>ref</t>
        </is>
      </c>
      <c r="O1185" t="n">
        <v>0</v>
      </c>
      <c r="P1185" t="n">
        <v>0</v>
      </c>
      <c r="Q1185" t="n">
        <v>50</v>
      </c>
      <c r="R1185" t="n">
        <v>0.02759</v>
      </c>
      <c r="S1185">
        <f>IMAGE("https://mitra.stanford.edu/kundaje/oak/projects/neuro-variants/variant_position/credible/roussos_2024/variant_figures/roussos_2024.childhood.GLU/rs111476301_count_position.png",4,220,900)</f>
        <v/>
      </c>
      <c r="T1185">
        <f>IMAGE("https://mitra.stanford.edu/kundaje/oak/projects/neuro-variants/variant_position/credible/roussos_2024/variant_figures/roussos_2024.childhood.GLU/rs111476301_profile_position.png",4,220,900)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-0.0495288683999999</v>
      </c>
      <c r="G1186" t="n">
        <v>0.1814940277055209</v>
      </c>
      <c r="H1186" t="n">
        <v>0.0158796899219675</v>
      </c>
      <c r="I1186" t="n">
        <v>0.2068886021261481</v>
      </c>
      <c r="J1186" t="n">
        <v>0.0026569276891219</v>
      </c>
      <c r="K1186" t="n">
        <v>0.7483130802726762</v>
      </c>
      <c r="L1186" t="b">
        <v>0</v>
      </c>
      <c r="M1186" t="b">
        <v>0</v>
      </c>
      <c r="N1186" t="inlineStr">
        <is>
          <t>ref</t>
        </is>
      </c>
      <c r="O1186" t="n">
        <v>-100</v>
      </c>
      <c r="P1186" t="n">
        <v>0.00976</v>
      </c>
      <c r="Q1186" t="n">
        <v>-20</v>
      </c>
      <c r="R1186" t="n">
        <v>0.02222</v>
      </c>
      <c r="S1186">
        <f>IMAGE("https://mitra.stanford.edu/kundaje/oak/projects/neuro-variants/variant_position/credible/roussos_2024/variant_figures/roussos_2024.childhood.GLU/rs1046701_count_position.png",4,220,900)</f>
        <v/>
      </c>
      <c r="T1186">
        <f>IMAGE("https://mitra.stanford.edu/kundaje/oak/projects/neuro-variants/variant_position/credible/roussos_2024/variant_figures/roussos_2024.childhood.GLU/rs1046701_profile_position.png",4,220,900)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0.005543345</v>
      </c>
      <c r="G1187" t="n">
        <v>0.4379696084152363</v>
      </c>
      <c r="H1187" t="n">
        <v>0.0100357229513505</v>
      </c>
      <c r="I1187" t="n">
        <v>0.6558671709170324</v>
      </c>
      <c r="J1187" t="n">
        <v>0.07511512666508691</v>
      </c>
      <c r="K1187" t="n">
        <v>0.2870684614635043</v>
      </c>
      <c r="L1187" t="b">
        <v>0</v>
      </c>
      <c r="M1187" t="b">
        <v>0</v>
      </c>
      <c r="N1187" t="inlineStr">
        <is>
          <t>alt</t>
        </is>
      </c>
      <c r="O1187" t="n">
        <v>30</v>
      </c>
      <c r="P1187" t="n">
        <v>0.010284</v>
      </c>
      <c r="Q1187" t="n">
        <v>25</v>
      </c>
      <c r="R1187" t="n">
        <v>0.10474</v>
      </c>
      <c r="S1187">
        <f>IMAGE("https://mitra.stanford.edu/kundaje/oak/projects/neuro-variants/variant_position/credible/roussos_2024/variant_figures/roussos_2024.childhood.GLU/rs1253099_count_position.png",4,220,900)</f>
        <v/>
      </c>
      <c r="T1187">
        <f>IMAGE("https://mitra.stanford.edu/kundaje/oak/projects/neuro-variants/variant_position/credible/roussos_2024/variant_figures/roussos_2024.childhood.GLU/rs1253099_profile_position.png",4,220,900)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0.0122321475</v>
      </c>
      <c r="G1188" t="n">
        <v>0.5871552181496363</v>
      </c>
      <c r="H1188" t="n">
        <v>0.0131078951642847</v>
      </c>
      <c r="I1188" t="n">
        <v>0.3617528368858197</v>
      </c>
      <c r="J1188" t="n">
        <v>0.0024436729269473</v>
      </c>
      <c r="K1188" t="n">
        <v>0.7442154481246357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0.002449</v>
      </c>
      <c r="Q1188" t="n">
        <v>-100</v>
      </c>
      <c r="R1188" t="n">
        <v>0.1519</v>
      </c>
      <c r="S1188">
        <f>IMAGE("https://mitra.stanford.edu/kundaje/oak/projects/neuro-variants/variant_position/credible/roussos_2024/variant_figures/roussos_2024.childhood.GLU/rs1253102_count_position.png",4,220,900)</f>
        <v/>
      </c>
      <c r="T1188">
        <f>IMAGE("https://mitra.stanford.edu/kundaje/oak/projects/neuro-variants/variant_position/credible/roussos_2024/variant_figures/roussos_2024.childhood.GLU/rs1253102_profile_position.png",4,220,900)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0.003448097288</v>
      </c>
      <c r="G1189" t="n">
        <v>0.826323950402127</v>
      </c>
      <c r="H1189" t="n">
        <v>0.0125376954082132</v>
      </c>
      <c r="I1189" t="n">
        <v>0.4027281269171043</v>
      </c>
      <c r="J1189" t="n">
        <v>0.0071744259119988</v>
      </c>
      <c r="K1189" t="n">
        <v>0.6323533759945666</v>
      </c>
      <c r="L1189" t="b">
        <v>0</v>
      </c>
      <c r="M1189" t="b">
        <v>0</v>
      </c>
      <c r="N1189" t="inlineStr">
        <is>
          <t>alt</t>
        </is>
      </c>
      <c r="O1189" t="n">
        <v>-80</v>
      </c>
      <c r="P1189" t="n">
        <v>0.01296</v>
      </c>
      <c r="Q1189" t="n">
        <v>0</v>
      </c>
      <c r="R1189" t="n">
        <v>0</v>
      </c>
      <c r="S1189">
        <f>IMAGE("https://mitra.stanford.edu/kundaje/oak/projects/neuro-variants/variant_position/credible/roussos_2024/variant_figures/roussos_2024.childhood.GLU/rs111758996_count_position.png",4,220,900)</f>
        <v/>
      </c>
      <c r="T1189">
        <f>IMAGE("https://mitra.stanford.edu/kundaje/oak/projects/neuro-variants/variant_position/credible/roussos_2024/variant_figures/roussos_2024.childhood.GLU/rs111758996_profile_position.png",4,220,900)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0.0054703173679999</v>
      </c>
      <c r="G1190" t="n">
        <v>0.7757056262305397</v>
      </c>
      <c r="H1190" t="n">
        <v>0.0304055006084857</v>
      </c>
      <c r="I1190" t="n">
        <v>0.0198730483848171</v>
      </c>
      <c r="J1190" t="n">
        <v>0.0251795151802362</v>
      </c>
      <c r="K1190" t="n">
        <v>0.4561610745574829</v>
      </c>
      <c r="L1190" t="b">
        <v>1</v>
      </c>
      <c r="M1190" t="b">
        <v>0</v>
      </c>
      <c r="N1190" t="inlineStr">
        <is>
          <t>alt</t>
        </is>
      </c>
      <c r="O1190" t="n">
        <v>-100</v>
      </c>
      <c r="P1190" t="n">
        <v>0.03119</v>
      </c>
      <c r="Q1190" t="n">
        <v>10</v>
      </c>
      <c r="R1190" t="n">
        <v>0.00653</v>
      </c>
      <c r="S1190">
        <f>IMAGE("https://mitra.stanford.edu/kundaje/oak/projects/neuro-variants/variant_position/credible/roussos_2024/variant_figures/roussos_2024.childhood.GLU/rs2526886_count_position.png",4,220,900)</f>
        <v/>
      </c>
      <c r="T1190">
        <f>IMAGE("https://mitra.stanford.edu/kundaje/oak/projects/neuro-variants/variant_position/credible/roussos_2024/variant_figures/roussos_2024.childhood.GLU/rs2526886_profile_position.png",4,220,900)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-0.0113664066</v>
      </c>
      <c r="G1191" t="n">
        <v>0.5065487232441115</v>
      </c>
      <c r="H1191" t="n">
        <v>0.0198621297626658</v>
      </c>
      <c r="I1191" t="n">
        <v>0.1006438510544986</v>
      </c>
      <c r="J1191" t="n">
        <v>0.0760886810141448</v>
      </c>
      <c r="K1191" t="n">
        <v>0.2935786818066861</v>
      </c>
      <c r="L1191" t="b">
        <v>0</v>
      </c>
      <c r="M1191" t="b">
        <v>0</v>
      </c>
      <c r="N1191" t="inlineStr">
        <is>
          <t>ref</t>
        </is>
      </c>
      <c r="O1191" t="n">
        <v>-100</v>
      </c>
      <c r="P1191" t="n">
        <v>0.0224</v>
      </c>
      <c r="Q1191" t="n">
        <v>-100</v>
      </c>
      <c r="R1191" t="n">
        <v>0.2856</v>
      </c>
      <c r="S1191">
        <f>IMAGE("https://mitra.stanford.edu/kundaje/oak/projects/neuro-variants/variant_position/credible/roussos_2024/variant_figures/roussos_2024.childhood.GLU/rs2810073_count_position.png",4,220,900)</f>
        <v/>
      </c>
      <c r="T1191">
        <f>IMAGE("https://mitra.stanford.edu/kundaje/oak/projects/neuro-variants/variant_position/credible/roussos_2024/variant_figures/roussos_2024.childhood.GLU/rs2810073_profile_position.png",4,220,900)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0.0018495514999999</v>
      </c>
      <c r="G1192" t="n">
        <v>0.566166928818274</v>
      </c>
      <c r="H1192" t="n">
        <v>0.0203919081308023</v>
      </c>
      <c r="I1192" t="n">
        <v>0.0934753595051262</v>
      </c>
      <c r="J1192" t="n">
        <v>0.0234281475681744</v>
      </c>
      <c r="K1192" t="n">
        <v>0.4652644562211633</v>
      </c>
      <c r="L1192" t="b">
        <v>0</v>
      </c>
      <c r="M1192" t="b">
        <v>0</v>
      </c>
      <c r="N1192" t="inlineStr">
        <is>
          <t>alt</t>
        </is>
      </c>
      <c r="O1192" t="n">
        <v>-95</v>
      </c>
      <c r="P1192" t="n">
        <v>0.01494</v>
      </c>
      <c r="Q1192" t="n">
        <v>85</v>
      </c>
      <c r="R1192" t="n">
        <v>0.11255</v>
      </c>
      <c r="S1192">
        <f>IMAGE("https://mitra.stanford.edu/kundaje/oak/projects/neuro-variants/variant_position/credible/roussos_2024/variant_figures/roussos_2024.childhood.GLU/rs2189806_count_position.png",4,220,900)</f>
        <v/>
      </c>
      <c r="T1192">
        <f>IMAGE("https://mitra.stanford.edu/kundaje/oak/projects/neuro-variants/variant_position/credible/roussos_2024/variant_figures/roussos_2024.childhood.GLU/rs2189806_profile_position.png",4,220,900)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0.07645727519999999</v>
      </c>
      <c r="G1193" t="n">
        <v>0.0810482721049048</v>
      </c>
      <c r="H1193" t="n">
        <v>0.0107930585669825</v>
      </c>
      <c r="I1193" t="n">
        <v>0.559852522456895</v>
      </c>
      <c r="J1193" t="n">
        <v>0.00083653558882</v>
      </c>
      <c r="K1193" t="n">
        <v>0.8410011343944566</v>
      </c>
      <c r="L1193" t="b">
        <v>0</v>
      </c>
      <c r="M1193" t="b">
        <v>0</v>
      </c>
      <c r="N1193" t="inlineStr">
        <is>
          <t>alt</t>
        </is>
      </c>
      <c r="O1193" t="n">
        <v>-10</v>
      </c>
      <c r="P1193" t="n">
        <v>0.0004082</v>
      </c>
      <c r="Q1193" t="n">
        <v>-90</v>
      </c>
      <c r="R1193" t="n">
        <v>0.1285</v>
      </c>
      <c r="S1193">
        <f>IMAGE("https://mitra.stanford.edu/kundaje/oak/projects/neuro-variants/variant_position/credible/roussos_2024/variant_figures/roussos_2024.childhood.GLU/rs2332477_count_position.png",4,220,900)</f>
        <v/>
      </c>
      <c r="T1193">
        <f>IMAGE("https://mitra.stanford.edu/kundaje/oak/projects/neuro-variants/variant_position/credible/roussos_2024/variant_figures/roussos_2024.childhood.GLU/rs2332477_profile_position.png",4,220,900)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0.1237948988</v>
      </c>
      <c r="G1194" t="n">
        <v>0.0295682593814377</v>
      </c>
      <c r="H1194" t="n">
        <v>0.013469414199814</v>
      </c>
      <c r="I1194" t="n">
        <v>0.3268145270854696</v>
      </c>
      <c r="J1194" t="n">
        <v>0.0030432587800178</v>
      </c>
      <c r="K1194" t="n">
        <v>0.7255211163417611</v>
      </c>
      <c r="L1194" t="b">
        <v>0</v>
      </c>
      <c r="M1194" t="b">
        <v>0</v>
      </c>
      <c r="N1194" t="inlineStr">
        <is>
          <t>alt</t>
        </is>
      </c>
      <c r="O1194" t="n">
        <v>-55</v>
      </c>
      <c r="P1194" t="n">
        <v>0.001165</v>
      </c>
      <c r="Q1194" t="n">
        <v>100</v>
      </c>
      <c r="R1194" t="n">
        <v>0.1164</v>
      </c>
      <c r="S1194">
        <f>IMAGE("https://mitra.stanford.edu/kundaje/oak/projects/neuro-variants/variant_position/credible/roussos_2024/variant_figures/roussos_2024.childhood.GLU/rs2097866_count_position.png",4,220,900)</f>
        <v/>
      </c>
      <c r="T1194">
        <f>IMAGE("https://mitra.stanford.edu/kundaje/oak/projects/neuro-variants/variant_position/credible/roussos_2024/variant_figures/roussos_2024.childhood.GLU/rs2097866_profile_position.png",4,220,900)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-0.0297639143999999</v>
      </c>
      <c r="G1195" t="n">
        <v>0.3462886876651317</v>
      </c>
      <c r="H1195" t="n">
        <v>0.01133283441906</v>
      </c>
      <c r="I1195" t="n">
        <v>0.5092233958737733</v>
      </c>
      <c r="J1195" t="n">
        <v>0.0166060556110726</v>
      </c>
      <c r="K1195" t="n">
        <v>0.5161404358536991</v>
      </c>
      <c r="L1195" t="b">
        <v>0</v>
      </c>
      <c r="M1195" t="b">
        <v>0</v>
      </c>
      <c r="N1195" t="inlineStr">
        <is>
          <t>ref</t>
        </is>
      </c>
      <c r="O1195" t="n">
        <v>100</v>
      </c>
      <c r="P1195" t="n">
        <v>0.01226</v>
      </c>
      <c r="Q1195" t="n">
        <v>85</v>
      </c>
      <c r="R1195" t="n">
        <v>0.0757</v>
      </c>
      <c r="S1195">
        <f>IMAGE("https://mitra.stanford.edu/kundaje/oak/projects/neuro-variants/variant_position/credible/roussos_2024/variant_figures/roussos_2024.childhood.GLU/rs2526860_count_position.png",4,220,900)</f>
        <v/>
      </c>
      <c r="T1195">
        <f>IMAGE("https://mitra.stanford.edu/kundaje/oak/projects/neuro-variants/variant_position/credible/roussos_2024/variant_figures/roussos_2024.childhood.GLU/rs2526860_profile_position.png",4,220,900)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0.097624873</v>
      </c>
      <c r="G1196" t="n">
        <v>0.0453487164655207</v>
      </c>
      <c r="H1196" t="n">
        <v>0.0104280941108894</v>
      </c>
      <c r="I1196" t="n">
        <v>0.5986666368940575</v>
      </c>
      <c r="J1196" t="n">
        <v>0.0109882864413239</v>
      </c>
      <c r="K1196" t="n">
        <v>0.5732227098845342</v>
      </c>
      <c r="L1196" t="b">
        <v>0</v>
      </c>
      <c r="M1196" t="b">
        <v>0</v>
      </c>
      <c r="N1196" t="inlineStr">
        <is>
          <t>alt</t>
        </is>
      </c>
      <c r="O1196" t="n">
        <v>-25</v>
      </c>
      <c r="P1196" t="n">
        <v>0.01813</v>
      </c>
      <c r="Q1196" t="n">
        <v>50</v>
      </c>
      <c r="R1196" t="n">
        <v>0.0843</v>
      </c>
      <c r="S1196">
        <f>IMAGE("https://mitra.stanford.edu/kundaje/oak/projects/neuro-variants/variant_position/credible/roussos_2024/variant_figures/roussos_2024.childhood.GLU/rs7157250_count_position.png",4,220,900)</f>
        <v/>
      </c>
      <c r="T1196">
        <f>IMAGE("https://mitra.stanford.edu/kundaje/oak/projects/neuro-variants/variant_position/credible/roussos_2024/variant_figures/roussos_2024.childhood.GLU/rs7157250_profile_position.png",4,220,900)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-0.0445311114</v>
      </c>
      <c r="G1197" t="n">
        <v>0.2176070513853884</v>
      </c>
      <c r="H1197" t="n">
        <v>0.0201431921604961</v>
      </c>
      <c r="I1197" t="n">
        <v>0.09863543724187181</v>
      </c>
      <c r="J1197" t="n">
        <v>0.0412065892630862</v>
      </c>
      <c r="K1197" t="n">
        <v>0.3830854893941923</v>
      </c>
      <c r="L1197" t="b">
        <v>0</v>
      </c>
      <c r="M1197" t="b">
        <v>0</v>
      </c>
      <c r="N1197" t="inlineStr">
        <is>
          <t>ref</t>
        </is>
      </c>
      <c r="O1197" t="n">
        <v>-40</v>
      </c>
      <c r="P1197" t="n">
        <v>0.006405</v>
      </c>
      <c r="Q1197" t="n">
        <v>-100</v>
      </c>
      <c r="R1197" t="n">
        <v>0.1105</v>
      </c>
      <c r="S1197">
        <f>IMAGE("https://mitra.stanford.edu/kundaje/oak/projects/neuro-variants/variant_position/credible/roussos_2024/variant_figures/roussos_2024.childhood.GLU/rs67981189_count_position.png",4,220,900)</f>
        <v/>
      </c>
      <c r="T1197">
        <f>IMAGE("https://mitra.stanford.edu/kundaje/oak/projects/neuro-variants/variant_position/credible/roussos_2024/variant_figures/roussos_2024.childhood.GLU/rs67981189_profile_position.png",4,220,900)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0.07092957179999999</v>
      </c>
      <c r="G1198" t="n">
        <v>0.1005045228576028</v>
      </c>
      <c r="H1198" t="n">
        <v>0.0153859729140792</v>
      </c>
      <c r="I1198" t="n">
        <v>0.2360683690548206</v>
      </c>
      <c r="J1198" t="n">
        <v>0.0119443271142612</v>
      </c>
      <c r="K1198" t="n">
        <v>0.5670114674113735</v>
      </c>
      <c r="L1198" t="b">
        <v>0</v>
      </c>
      <c r="M1198" t="b">
        <v>0</v>
      </c>
      <c r="N1198" t="inlineStr">
        <is>
          <t>alt</t>
        </is>
      </c>
      <c r="O1198" t="n">
        <v>-70</v>
      </c>
      <c r="P1198" t="n">
        <v>0.02663</v>
      </c>
      <c r="Q1198" t="n">
        <v>-70</v>
      </c>
      <c r="R1198" t="n">
        <v>0.1389</v>
      </c>
      <c r="S1198">
        <f>IMAGE("https://mitra.stanford.edu/kundaje/oak/projects/neuro-variants/variant_position/credible/roussos_2024/variant_figures/roussos_2024.childhood.GLU/rs7146932_count_position.png",4,220,900)</f>
        <v/>
      </c>
      <c r="T1198">
        <f>IMAGE("https://mitra.stanford.edu/kundaje/oak/projects/neuro-variants/variant_position/credible/roussos_2024/variant_figures/roussos_2024.childhood.GLU/rs7146932_profile_position.png",4,220,900)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-0.00710982114</v>
      </c>
      <c r="G1199" t="n">
        <v>0.7587068202721791</v>
      </c>
      <c r="H1199" t="n">
        <v>0.0137905101211002</v>
      </c>
      <c r="I1199" t="n">
        <v>0.318388165814026</v>
      </c>
      <c r="J1199" t="n">
        <v>6.284319078573254e-05</v>
      </c>
      <c r="K1199" t="n">
        <v>0.9557293373854996</v>
      </c>
      <c r="L1199" t="b">
        <v>0</v>
      </c>
      <c r="M1199" t="b">
        <v>0</v>
      </c>
      <c r="N1199" t="inlineStr">
        <is>
          <t>ref</t>
        </is>
      </c>
      <c r="O1199" t="n">
        <v>-100</v>
      </c>
      <c r="P1199" t="n">
        <v>0.006287</v>
      </c>
      <c r="Q1199" t="n">
        <v>-100</v>
      </c>
      <c r="R1199" t="n">
        <v>0.02458</v>
      </c>
      <c r="S1199">
        <f>IMAGE("https://mitra.stanford.edu/kundaje/oak/projects/neuro-variants/variant_position/credible/roussos_2024/variant_figures/roussos_2024.childhood.GLU/rs34488204_count_position.png",4,220,900)</f>
        <v/>
      </c>
      <c r="T1199">
        <f>IMAGE("https://mitra.stanford.edu/kundaje/oak/projects/neuro-variants/variant_position/credible/roussos_2024/variant_figures/roussos_2024.childhood.GLU/rs34488204_profile_position.png",4,220,900)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0.0010459166879999</v>
      </c>
      <c r="G1200" t="n">
        <v>0.6798339325020091</v>
      </c>
      <c r="H1200" t="n">
        <v>0.0180887129109973</v>
      </c>
      <c r="I1200" t="n">
        <v>0.1353949442831819</v>
      </c>
      <c r="J1200" t="n">
        <v>0.0012496523020181</v>
      </c>
      <c r="K1200" t="n">
        <v>0.8125608117591533</v>
      </c>
      <c r="L1200" t="b">
        <v>0</v>
      </c>
      <c r="M1200" t="b">
        <v>0</v>
      </c>
      <c r="N1200" t="inlineStr">
        <is>
          <t>alt</t>
        </is>
      </c>
      <c r="O1200" t="n">
        <v>45</v>
      </c>
      <c r="P1200" t="n">
        <v>0.00822</v>
      </c>
      <c r="Q1200" t="n">
        <v>-25</v>
      </c>
      <c r="R1200" t="n">
        <v>0.01169</v>
      </c>
      <c r="S1200">
        <f>IMAGE("https://mitra.stanford.edu/kundaje/oak/projects/neuro-variants/variant_position/credible/roussos_2024/variant_figures/roussos_2024.childhood.GLU/rs3814869_count_position.png",4,220,900)</f>
        <v/>
      </c>
      <c r="T1200">
        <f>IMAGE("https://mitra.stanford.edu/kundaje/oak/projects/neuro-variants/variant_position/credible/roussos_2024/variant_figures/roussos_2024.childhood.GLU/rs3814869_profile_position.png",4,220,900)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-0.0328421501</v>
      </c>
      <c r="G1201" t="n">
        <v>0.2910709969385145</v>
      </c>
      <c r="H1201" t="n">
        <v>0.0144814329670466</v>
      </c>
      <c r="I1201" t="n">
        <v>0.2820321874856689</v>
      </c>
      <c r="J1201" t="n">
        <v>0.0261098004471138</v>
      </c>
      <c r="K1201" t="n">
        <v>0.4484924182738758</v>
      </c>
      <c r="L1201" t="b">
        <v>0</v>
      </c>
      <c r="M1201" t="b">
        <v>0</v>
      </c>
      <c r="N1201" t="inlineStr">
        <is>
          <t>ref</t>
        </is>
      </c>
      <c r="O1201" t="n">
        <v>-10</v>
      </c>
      <c r="P1201" t="n">
        <v>0.001038</v>
      </c>
      <c r="Q1201" t="n">
        <v>10</v>
      </c>
      <c r="R1201" t="n">
        <v>0.004883</v>
      </c>
      <c r="S1201">
        <f>IMAGE("https://mitra.stanford.edu/kundaje/oak/projects/neuro-variants/variant_position/credible/roussos_2024/variant_figures/roussos_2024.childhood.GLU/rs4048474_count_position.png",4,220,900)</f>
        <v/>
      </c>
      <c r="T1201">
        <f>IMAGE("https://mitra.stanford.edu/kundaje/oak/projects/neuro-variants/variant_position/credible/roussos_2024/variant_figures/roussos_2024.childhood.GLU/rs4048474_profile_position.png",4,220,900)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-0.0074859813399999</v>
      </c>
      <c r="G1202" t="n">
        <v>0.7364401298244275</v>
      </c>
      <c r="H1202" t="n">
        <v>0.0200385711776151</v>
      </c>
      <c r="I1202" t="n">
        <v>0.0981558927031585</v>
      </c>
      <c r="J1202" t="n">
        <v>0.0207681292303254</v>
      </c>
      <c r="K1202" t="n">
        <v>0.4865301319484547</v>
      </c>
      <c r="L1202" t="b">
        <v>0</v>
      </c>
      <c r="M1202" t="b">
        <v>0</v>
      </c>
      <c r="N1202" t="inlineStr">
        <is>
          <t>ref</t>
        </is>
      </c>
      <c r="O1202" t="n">
        <v>-100</v>
      </c>
      <c r="P1202" t="n">
        <v>0.00891</v>
      </c>
      <c r="Q1202" t="n">
        <v>90</v>
      </c>
      <c r="R1202" t="n">
        <v>0.08905</v>
      </c>
      <c r="S1202">
        <f>IMAGE("https://mitra.stanford.edu/kundaje/oak/projects/neuro-variants/variant_position/credible/roussos_2024/variant_figures/roussos_2024.childhood.GLU/rs221923_count_position.png",4,220,900)</f>
        <v/>
      </c>
      <c r="T1202">
        <f>IMAGE("https://mitra.stanford.edu/kundaje/oak/projects/neuro-variants/variant_position/credible/roussos_2024/variant_figures/roussos_2024.childhood.GLU/rs221923_profile_position.png",4,220,900)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0.171129958</v>
      </c>
      <c r="G1203" t="n">
        <v>0.0120814240112507</v>
      </c>
      <c r="H1203" t="n">
        <v>0.0291569257485337</v>
      </c>
      <c r="I1203" t="n">
        <v>0.0241591971574189</v>
      </c>
      <c r="J1203" t="n">
        <v>0.0146434936693211</v>
      </c>
      <c r="K1203" t="n">
        <v>0.5345145961577632</v>
      </c>
      <c r="L1203" t="b">
        <v>1</v>
      </c>
      <c r="M1203" t="b">
        <v>0</v>
      </c>
      <c r="N1203" t="inlineStr">
        <is>
          <t>alt</t>
        </is>
      </c>
      <c r="O1203" t="n">
        <v>-95</v>
      </c>
      <c r="P1203" t="n">
        <v>0.01149</v>
      </c>
      <c r="Q1203" t="n">
        <v>60</v>
      </c>
      <c r="R1203" t="n">
        <v>0.10364</v>
      </c>
      <c r="S1203">
        <f>IMAGE("https://mitra.stanford.edu/kundaje/oak/projects/neuro-variants/variant_position/credible/roussos_2024/variant_figures/roussos_2024.childhood.GLU/rs75982415_count_position.png",4,220,900)</f>
        <v/>
      </c>
      <c r="T1203">
        <f>IMAGE("https://mitra.stanford.edu/kundaje/oak/projects/neuro-variants/variant_position/credible/roussos_2024/variant_figures/roussos_2024.childhood.GLU/rs75982415_profile_position.png",4,220,900)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-0.10186001</v>
      </c>
      <c r="G1204" t="n">
        <v>0.0453332747135729</v>
      </c>
      <c r="H1204" t="n">
        <v>0.0185591986736008</v>
      </c>
      <c r="I1204" t="n">
        <v>0.1302078193366103</v>
      </c>
      <c r="J1204" t="n">
        <v>0.3802425129034584</v>
      </c>
      <c r="K1204" t="n">
        <v>0.07013038003814689</v>
      </c>
      <c r="L1204" t="b">
        <v>0</v>
      </c>
      <c r="M1204" t="b">
        <v>0</v>
      </c>
      <c r="N1204" t="inlineStr">
        <is>
          <t>ref</t>
        </is>
      </c>
      <c r="O1204" t="n">
        <v>-30</v>
      </c>
      <c r="P1204" t="n">
        <v>0.001045</v>
      </c>
      <c r="Q1204" t="n">
        <v>95</v>
      </c>
      <c r="R1204" t="n">
        <v>0.1769</v>
      </c>
      <c r="S1204">
        <f>IMAGE("https://mitra.stanford.edu/kundaje/oak/projects/neuro-variants/variant_position/credible/roussos_2024/variant_figures/roussos_2024.childhood.GLU/rs142859468_count_position.png",4,220,900)</f>
        <v/>
      </c>
      <c r="T1204">
        <f>IMAGE("https://mitra.stanford.edu/kundaje/oak/projects/neuro-variants/variant_position/credible/roussos_2024/variant_figures/roussos_2024.childhood.GLU/rs142859468_profile_position.png",4,220,900)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-0.0421494055999999</v>
      </c>
      <c r="G1205" t="n">
        <v>0.2343017274069149</v>
      </c>
      <c r="H1205" t="n">
        <v>0.009423678834338801</v>
      </c>
      <c r="I1205" t="n">
        <v>0.7133103274625808</v>
      </c>
      <c r="J1205" t="n">
        <v>0.2341320943265991</v>
      </c>
      <c r="K1205" t="n">
        <v>0.1271840946814861</v>
      </c>
      <c r="L1205" t="b">
        <v>0</v>
      </c>
      <c r="M1205" t="b">
        <v>0</v>
      </c>
      <c r="N1205" t="inlineStr">
        <is>
          <t>ref</t>
        </is>
      </c>
      <c r="O1205" t="n">
        <v>100</v>
      </c>
      <c r="P1205" t="n">
        <v>0.03867</v>
      </c>
      <c r="Q1205" t="n">
        <v>55</v>
      </c>
      <c r="R1205" t="n">
        <v>0.2241</v>
      </c>
      <c r="S1205">
        <f>IMAGE("https://mitra.stanford.edu/kundaje/oak/projects/neuro-variants/variant_position/credible/roussos_2024/variant_figures/roussos_2024.childhood.GLU/rs57923981_count_position.png",4,220,900)</f>
        <v/>
      </c>
      <c r="T1205">
        <f>IMAGE("https://mitra.stanford.edu/kundaje/oak/projects/neuro-variants/variant_position/credible/roussos_2024/variant_figures/roussos_2024.childhood.GLU/rs57923981_profile_position.png",4,220,900)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-0.04828519856</v>
      </c>
      <c r="G1206" t="n">
        <v>0.2306564435516636</v>
      </c>
      <c r="H1206" t="n">
        <v>0.0205235222659898</v>
      </c>
      <c r="I1206" t="n">
        <v>0.09764898331849819</v>
      </c>
      <c r="J1206" t="n">
        <v>0.0067479163876497</v>
      </c>
      <c r="K1206" t="n">
        <v>0.6333667528414132</v>
      </c>
      <c r="L1206" t="b">
        <v>0</v>
      </c>
      <c r="M1206" t="b">
        <v>0</v>
      </c>
      <c r="N1206" t="inlineStr">
        <is>
          <t>ref</t>
        </is>
      </c>
      <c r="O1206" t="n">
        <v>-90</v>
      </c>
      <c r="P1206" t="n">
        <v>0.00298</v>
      </c>
      <c r="Q1206" t="n">
        <v>-100</v>
      </c>
      <c r="R1206" t="n">
        <v>0.0404</v>
      </c>
      <c r="S1206">
        <f>IMAGE("https://mitra.stanford.edu/kundaje/oak/projects/neuro-variants/variant_position/credible/roussos_2024/variant_figures/roussos_2024.childhood.GLU/rs723966_count_position.png",4,220,900)</f>
        <v/>
      </c>
      <c r="T1206">
        <f>IMAGE("https://mitra.stanford.edu/kundaje/oak/projects/neuro-variants/variant_position/credible/roussos_2024/variant_figures/roussos_2024.childhood.GLU/rs723966_profile_position.png",4,220,900)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-0.033754369</v>
      </c>
      <c r="G1207" t="n">
        <v>0.3106541820784592</v>
      </c>
      <c r="H1207" t="n">
        <v>0.0078208365619828</v>
      </c>
      <c r="I1207" t="n">
        <v>0.8913567359242845</v>
      </c>
      <c r="J1207" t="n">
        <v>0.1075339713805927</v>
      </c>
      <c r="K1207" t="n">
        <v>0.2344932270499134</v>
      </c>
      <c r="L1207" t="b">
        <v>0</v>
      </c>
      <c r="M1207" t="b">
        <v>0</v>
      </c>
      <c r="N1207" t="inlineStr">
        <is>
          <t>ref</t>
        </is>
      </c>
      <c r="O1207" t="n">
        <v>100</v>
      </c>
      <c r="P1207" t="n">
        <v>0.01256</v>
      </c>
      <c r="Q1207" t="n">
        <v>100</v>
      </c>
      <c r="R1207" t="n">
        <v>0.209</v>
      </c>
      <c r="S1207">
        <f>IMAGE("https://mitra.stanford.edu/kundaje/oak/projects/neuro-variants/variant_position/credible/roussos_2024/variant_figures/roussos_2024.childhood.GLU/rs61991204_count_position.png",4,220,900)</f>
        <v/>
      </c>
      <c r="T1207">
        <f>IMAGE("https://mitra.stanford.edu/kundaje/oak/projects/neuro-variants/variant_position/credible/roussos_2024/variant_figures/roussos_2024.childhood.GLU/rs61991204_profile_position.png",4,220,900)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-0.080469939</v>
      </c>
      <c r="G1208" t="n">
        <v>0.0790281233981389</v>
      </c>
      <c r="H1208" t="n">
        <v>0.0141600473781321</v>
      </c>
      <c r="I1208" t="n">
        <v>0.2971296706403892</v>
      </c>
      <c r="J1208" t="n">
        <v>0.0624887963983639</v>
      </c>
      <c r="K1208" t="n">
        <v>0.315660080902725</v>
      </c>
      <c r="L1208" t="b">
        <v>0</v>
      </c>
      <c r="M1208" t="b">
        <v>0</v>
      </c>
      <c r="N1208" t="inlineStr">
        <is>
          <t>ref</t>
        </is>
      </c>
      <c r="O1208" t="n">
        <v>-20</v>
      </c>
      <c r="P1208" t="n">
        <v>0.0009990000000000001</v>
      </c>
      <c r="Q1208" t="n">
        <v>5</v>
      </c>
      <c r="R1208" t="n">
        <v>0.001373</v>
      </c>
      <c r="S1208">
        <f>IMAGE("https://mitra.stanford.edu/kundaje/oak/projects/neuro-variants/variant_position/credible/roussos_2024/variant_figures/roussos_2024.childhood.GLU/rs78053899_count_position.png",4,220,900)</f>
        <v/>
      </c>
      <c r="T1208">
        <f>IMAGE("https://mitra.stanford.edu/kundaje/oak/projects/neuro-variants/variant_position/credible/roussos_2024/variant_figures/roussos_2024.childhood.GLU/rs78053899_profile_position.png",4,220,900)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0.2185904219999999</v>
      </c>
      <c r="G1209" t="n">
        <v>0.0056679986397023</v>
      </c>
      <c r="H1209" t="n">
        <v>0.0316092738704783</v>
      </c>
      <c r="I1209" t="n">
        <v>0.0179157138127493</v>
      </c>
      <c r="J1209" t="n">
        <v>0.0600574860663252</v>
      </c>
      <c r="K1209" t="n">
        <v>0.3191962052147497</v>
      </c>
      <c r="L1209" t="b">
        <v>1</v>
      </c>
      <c r="M1209" t="b">
        <v>1</v>
      </c>
      <c r="N1209" t="inlineStr">
        <is>
          <t>alt</t>
        </is>
      </c>
      <c r="O1209" t="n">
        <v>80</v>
      </c>
      <c r="P1209" t="n">
        <v>0.02005</v>
      </c>
      <c r="Q1209" t="n">
        <v>80</v>
      </c>
      <c r="R1209" t="n">
        <v>0.00586</v>
      </c>
      <c r="S1209">
        <f>IMAGE("https://mitra.stanford.edu/kundaje/oak/projects/neuro-variants/variant_position/credible/roussos_2024/variant_figures/roussos_2024.childhood.GLU/rs1990241_count_position.png",4,220,900)</f>
        <v/>
      </c>
      <c r="T1209">
        <f>IMAGE("https://mitra.stanford.edu/kundaje/oak/projects/neuro-variants/variant_position/credible/roussos_2024/variant_figures/roussos_2024.childhood.GLU/rs1990241_profile_position.png",4,220,900)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-0.1053287589999999</v>
      </c>
      <c r="G1210" t="n">
        <v>0.0438548928610517</v>
      </c>
      <c r="H1210" t="n">
        <v>0.0129015111722669</v>
      </c>
      <c r="I1210" t="n">
        <v>0.3804525089834906</v>
      </c>
      <c r="J1210" t="n">
        <v>0.0225030133825089</v>
      </c>
      <c r="K1210" t="n">
        <v>0.4760942540979236</v>
      </c>
      <c r="L1210" t="b">
        <v>0</v>
      </c>
      <c r="M1210" t="b">
        <v>0</v>
      </c>
      <c r="N1210" t="inlineStr">
        <is>
          <t>ref</t>
        </is>
      </c>
      <c r="O1210" t="n">
        <v>15</v>
      </c>
      <c r="P1210" t="n">
        <v>0.0007935</v>
      </c>
      <c r="Q1210" t="n">
        <v>30</v>
      </c>
      <c r="R1210" t="n">
        <v>0.03186</v>
      </c>
      <c r="S1210">
        <f>IMAGE("https://mitra.stanford.edu/kundaje/oak/projects/neuro-variants/variant_position/credible/roussos_2024/variant_figures/roussos_2024.childhood.GLU/rs34873919_count_position.png",4,220,900)</f>
        <v/>
      </c>
      <c r="T1210">
        <f>IMAGE("https://mitra.stanford.edu/kundaje/oak/projects/neuro-variants/variant_position/credible/roussos_2024/variant_figures/roussos_2024.childhood.GLU/rs34873919_profile_position.png",4,220,900)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-0.0045937101999999</v>
      </c>
      <c r="G1211" t="n">
        <v>0.5784547603428295</v>
      </c>
      <c r="H1211" t="n">
        <v>0.0207793084289792</v>
      </c>
      <c r="I1211" t="n">
        <v>0.0861892504914932</v>
      </c>
      <c r="J1211" t="n">
        <v>0.0362502189209514</v>
      </c>
      <c r="K1211" t="n">
        <v>0.4111064762917786</v>
      </c>
      <c r="L1211" t="b">
        <v>0</v>
      </c>
      <c r="M1211" t="b">
        <v>0</v>
      </c>
      <c r="N1211" t="inlineStr">
        <is>
          <t>ref</t>
        </is>
      </c>
      <c r="O1211" t="n">
        <v>70</v>
      </c>
      <c r="P1211" t="n">
        <v>0.00925</v>
      </c>
      <c r="Q1211" t="n">
        <v>95</v>
      </c>
      <c r="R1211" t="n">
        <v>0.2172</v>
      </c>
      <c r="S1211">
        <f>IMAGE("https://mitra.stanford.edu/kundaje/oak/projects/neuro-variants/variant_position/credible/roussos_2024/variant_figures/roussos_2024.childhood.GLU/rs80173099_count_position.png",4,220,900)</f>
        <v/>
      </c>
      <c r="T1211">
        <f>IMAGE("https://mitra.stanford.edu/kundaje/oak/projects/neuro-variants/variant_position/credible/roussos_2024/variant_figures/roussos_2024.childhood.GLU/rs80173099_profile_position.png",4,220,900)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-0.01329890346</v>
      </c>
      <c r="G1212" t="n">
        <v>0.6220942225437798</v>
      </c>
      <c r="H1212" t="n">
        <v>0.0228191586463224</v>
      </c>
      <c r="I1212" t="n">
        <v>0.0609611811125555</v>
      </c>
      <c r="J1212" t="n">
        <v>0.0045205888716041</v>
      </c>
      <c r="K1212" t="n">
        <v>0.6805112248110986</v>
      </c>
      <c r="L1212" t="b">
        <v>0</v>
      </c>
      <c r="M1212" t="b">
        <v>0</v>
      </c>
      <c r="N1212" t="inlineStr">
        <is>
          <t>ref</t>
        </is>
      </c>
      <c r="O1212" t="n">
        <v>100</v>
      </c>
      <c r="P1212" t="n">
        <v>0.01639</v>
      </c>
      <c r="Q1212" t="n">
        <v>-45</v>
      </c>
      <c r="R1212" t="n">
        <v>0.05707</v>
      </c>
      <c r="S1212">
        <f>IMAGE("https://mitra.stanford.edu/kundaje/oak/projects/neuro-variants/variant_position/credible/roussos_2024/variant_figures/roussos_2024.childhood.GLU/rs35054229_count_position.png",4,220,900)</f>
        <v/>
      </c>
      <c r="T1212">
        <f>IMAGE("https://mitra.stanford.edu/kundaje/oak/projects/neuro-variants/variant_position/credible/roussos_2024/variant_figures/roussos_2024.childhood.GLU/rs35054229_profile_position.png",4,220,900)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-0.02704965808</v>
      </c>
      <c r="G1213" t="n">
        <v>0.375038257661161</v>
      </c>
      <c r="H1213" t="n">
        <v>0.0178127708787648</v>
      </c>
      <c r="I1213" t="n">
        <v>0.1438378678374256</v>
      </c>
      <c r="J1213" t="n">
        <v>0.0390215006129786</v>
      </c>
      <c r="K1213" t="n">
        <v>0.3967346069527428</v>
      </c>
      <c r="L1213" t="b">
        <v>0</v>
      </c>
      <c r="M1213" t="b">
        <v>0</v>
      </c>
      <c r="N1213" t="inlineStr">
        <is>
          <t>ref</t>
        </is>
      </c>
      <c r="O1213" t="n">
        <v>40</v>
      </c>
      <c r="P1213" t="n">
        <v>0.005585</v>
      </c>
      <c r="Q1213" t="n">
        <v>20</v>
      </c>
      <c r="R1213" t="n">
        <v>0.02185</v>
      </c>
      <c r="S1213">
        <f>IMAGE("https://mitra.stanford.edu/kundaje/oak/projects/neuro-variants/variant_position/credible/roussos_2024/variant_figures/roussos_2024.childhood.GLU/rs116311114_count_position.png",4,220,900)</f>
        <v/>
      </c>
      <c r="T1213">
        <f>IMAGE("https://mitra.stanford.edu/kundaje/oak/projects/neuro-variants/variant_position/credible/roussos_2024/variant_figures/roussos_2024.childhood.GLU/rs116311114_profile_position.png",4,220,900)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0.01232597102</v>
      </c>
      <c r="G1214" t="n">
        <v>0.5777404088964886</v>
      </c>
      <c r="H1214" t="n">
        <v>0.0392049912215572</v>
      </c>
      <c r="I1214" t="n">
        <v>0.0071337087715444</v>
      </c>
      <c r="J1214" t="n">
        <v>0.1611670289593785</v>
      </c>
      <c r="K1214" t="n">
        <v>0.1872839115714068</v>
      </c>
      <c r="L1214" t="b">
        <v>1</v>
      </c>
      <c r="M1214" t="b">
        <v>1</v>
      </c>
      <c r="N1214" t="inlineStr">
        <is>
          <t>alt</t>
        </is>
      </c>
      <c r="O1214" t="n">
        <v>100</v>
      </c>
      <c r="P1214" t="n">
        <v>0.0086</v>
      </c>
      <c r="Q1214" t="n">
        <v>35</v>
      </c>
      <c r="R1214" t="n">
        <v>0.093</v>
      </c>
      <c r="S1214">
        <f>IMAGE("https://mitra.stanford.edu/kundaje/oak/projects/neuro-variants/variant_position/credible/roussos_2024/variant_figures/roussos_2024.childhood.GLU/rs113102830_count_position.png",4,220,900)</f>
        <v/>
      </c>
      <c r="T1214">
        <f>IMAGE("https://mitra.stanford.edu/kundaje/oak/projects/neuro-variants/variant_position/credible/roussos_2024/variant_figures/roussos_2024.childhood.GLU/rs113102830_profile_position.png",4,220,900)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0.07249065</v>
      </c>
      <c r="G1215" t="n">
        <v>0.07391997015353299</v>
      </c>
      <c r="H1215" t="n">
        <v>0.01521717635178</v>
      </c>
      <c r="I1215" t="n">
        <v>0.2443493020265417</v>
      </c>
      <c r="J1215" t="n">
        <v>0.2250394057712713</v>
      </c>
      <c r="K1215" t="n">
        <v>0.1332785702060287</v>
      </c>
      <c r="L1215" t="b">
        <v>0</v>
      </c>
      <c r="M1215" t="b">
        <v>0</v>
      </c>
      <c r="N1215" t="inlineStr">
        <is>
          <t>alt</t>
        </is>
      </c>
      <c r="O1215" t="n">
        <v>100</v>
      </c>
      <c r="P1215" t="n">
        <v>0.010124</v>
      </c>
      <c r="Q1215" t="n">
        <v>-85</v>
      </c>
      <c r="R1215" t="n">
        <v>0.09032999999999999</v>
      </c>
      <c r="S1215">
        <f>IMAGE("https://mitra.stanford.edu/kundaje/oak/projects/neuro-variants/variant_position/credible/roussos_2024/variant_figures/roussos_2024.childhood.GLU/rs111590846_count_position.png",4,220,900)</f>
        <v/>
      </c>
      <c r="T1215">
        <f>IMAGE("https://mitra.stanford.edu/kundaje/oak/projects/neuro-variants/variant_position/credible/roussos_2024/variant_figures/roussos_2024.childhood.GLU/rs111590846_profile_position.png",4,220,900)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-0.0044139422899999</v>
      </c>
      <c r="G1216" t="n">
        <v>0.6516892101958284</v>
      </c>
      <c r="H1216" t="n">
        <v>0.0095411936043578</v>
      </c>
      <c r="I1216" t="n">
        <v>0.7111611776579934</v>
      </c>
      <c r="J1216" t="n">
        <v>0.0464709942616954</v>
      </c>
      <c r="K1216" t="n">
        <v>0.3724691739331179</v>
      </c>
      <c r="L1216" t="b">
        <v>0</v>
      </c>
      <c r="M1216" t="b">
        <v>0</v>
      </c>
      <c r="N1216" t="inlineStr">
        <is>
          <t>ref</t>
        </is>
      </c>
      <c r="O1216" t="n">
        <v>100</v>
      </c>
      <c r="P1216" t="n">
        <v>0.0369</v>
      </c>
      <c r="Q1216" t="n">
        <v>100</v>
      </c>
      <c r="R1216" t="n">
        <v>0.1517</v>
      </c>
      <c r="S1216">
        <f>IMAGE("https://mitra.stanford.edu/kundaje/oak/projects/neuro-variants/variant_position/credible/roussos_2024/variant_figures/roussos_2024.childhood.GLU/rs77942366_count_position.png",4,220,900)</f>
        <v/>
      </c>
      <c r="T1216">
        <f>IMAGE("https://mitra.stanford.edu/kundaje/oak/projects/neuro-variants/variant_position/credible/roussos_2024/variant_figures/roussos_2024.childhood.GLU/rs77942366_profile_position.png",4,220,900)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0.0177461235999999</v>
      </c>
      <c r="G1217" t="n">
        <v>0.1549565611864559</v>
      </c>
      <c r="H1217" t="n">
        <v>0.0212265508851796</v>
      </c>
      <c r="I1217" t="n">
        <v>0.0832486073411758</v>
      </c>
      <c r="J1217" t="n">
        <v>0.0335963818805566</v>
      </c>
      <c r="K1217" t="n">
        <v>0.4121084721602652</v>
      </c>
      <c r="L1217" t="b">
        <v>0</v>
      </c>
      <c r="M1217" t="b">
        <v>0</v>
      </c>
      <c r="N1217" t="inlineStr">
        <is>
          <t>alt</t>
        </is>
      </c>
      <c r="O1217" t="n">
        <v>-100</v>
      </c>
      <c r="P1217" t="n">
        <v>0.03378</v>
      </c>
      <c r="Q1217" t="n">
        <v>-100</v>
      </c>
      <c r="R1217" t="n">
        <v>0.11475</v>
      </c>
      <c r="S1217">
        <f>IMAGE("https://mitra.stanford.edu/kundaje/oak/projects/neuro-variants/variant_position/credible/roussos_2024/variant_figures/roussos_2024.childhood.GLU/rs76088535_count_position.png",4,220,900)</f>
        <v/>
      </c>
      <c r="T1217">
        <f>IMAGE("https://mitra.stanford.edu/kundaje/oak/projects/neuro-variants/variant_position/credible/roussos_2024/variant_figures/roussos_2024.childhood.GLU/rs76088535_profile_position.png",4,220,900)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0.140009592</v>
      </c>
      <c r="G1218" t="n">
        <v>0.022035200743298</v>
      </c>
      <c r="H1218" t="n">
        <v>0.0244190736709399</v>
      </c>
      <c r="I1218" t="n">
        <v>0.0523047015779893</v>
      </c>
      <c r="J1218" t="n">
        <v>0.0016246510142478</v>
      </c>
      <c r="K1218" t="n">
        <v>0.7876771975970117</v>
      </c>
      <c r="L1218" t="b">
        <v>0</v>
      </c>
      <c r="M1218" t="b">
        <v>0</v>
      </c>
      <c r="N1218" t="inlineStr">
        <is>
          <t>alt</t>
        </is>
      </c>
      <c r="O1218" t="n">
        <v>45</v>
      </c>
      <c r="P1218" t="n">
        <v>0.002808</v>
      </c>
      <c r="Q1218" t="n">
        <v>-70</v>
      </c>
      <c r="R1218" t="n">
        <v>0.02454</v>
      </c>
      <c r="S1218">
        <f>IMAGE("https://mitra.stanford.edu/kundaje/oak/projects/neuro-variants/variant_position/credible/roussos_2024/variant_figures/roussos_2024.childhood.GLU/rs113124653_count_position.png",4,220,900)</f>
        <v/>
      </c>
      <c r="T1218">
        <f>IMAGE("https://mitra.stanford.edu/kundaje/oak/projects/neuro-variants/variant_position/credible/roussos_2024/variant_figures/roussos_2024.childhood.GLU/rs113124653_profile_position.png",4,220,900)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0.0457775178</v>
      </c>
      <c r="G1219" t="n">
        <v>0.200637888206823</v>
      </c>
      <c r="H1219" t="n">
        <v>0.0229776235386048</v>
      </c>
      <c r="I1219" t="n">
        <v>0.0672674407436068</v>
      </c>
      <c r="J1219" t="n">
        <v>0.47636683939959</v>
      </c>
      <c r="K1219" t="n">
        <v>0.0470389401352539</v>
      </c>
      <c r="L1219" t="b">
        <v>0</v>
      </c>
      <c r="M1219" t="b">
        <v>0</v>
      </c>
      <c r="N1219" t="inlineStr">
        <is>
          <t>alt</t>
        </is>
      </c>
      <c r="O1219" t="n">
        <v>45</v>
      </c>
      <c r="P1219" t="n">
        <v>0.0004272</v>
      </c>
      <c r="Q1219" t="n">
        <v>-15</v>
      </c>
      <c r="R1219" t="n">
        <v>0.03882</v>
      </c>
      <c r="S1219">
        <f>IMAGE("https://mitra.stanford.edu/kundaje/oak/projects/neuro-variants/variant_position/credible/roussos_2024/variant_figures/roussos_2024.childhood.GLU/rs116767752_count_position.png",4,220,900)</f>
        <v/>
      </c>
      <c r="T1219">
        <f>IMAGE("https://mitra.stanford.edu/kundaje/oak/projects/neuro-variants/variant_position/credible/roussos_2024/variant_figures/roussos_2024.childhood.GLU/rs116767752_profile_position.png",4,220,900)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-0.0051251872</v>
      </c>
      <c r="G1220" t="n">
        <v>0.8169464900713956</v>
      </c>
      <c r="H1220" t="n">
        <v>0.0113278788114779</v>
      </c>
      <c r="I1220" t="n">
        <v>0.520241893925997</v>
      </c>
      <c r="J1220" t="n">
        <v>0.0162156036552071</v>
      </c>
      <c r="K1220" t="n">
        <v>0.530687170768836</v>
      </c>
      <c r="L1220" t="b">
        <v>0</v>
      </c>
      <c r="M1220" t="b">
        <v>0</v>
      </c>
      <c r="N1220" t="inlineStr">
        <is>
          <t>ref</t>
        </is>
      </c>
      <c r="O1220" t="n">
        <v>-85</v>
      </c>
      <c r="P1220" t="n">
        <v>0.012245</v>
      </c>
      <c r="Q1220" t="n">
        <v>95</v>
      </c>
      <c r="R1220" t="n">
        <v>0.09064</v>
      </c>
      <c r="S1220">
        <f>IMAGE("https://mitra.stanford.edu/kundaje/oak/projects/neuro-variants/variant_position/credible/roussos_2024/variant_figures/roussos_2024.childhood.GLU/rs71427137_count_position.png",4,220,900)</f>
        <v/>
      </c>
      <c r="T1220">
        <f>IMAGE("https://mitra.stanford.edu/kundaje/oak/projects/neuro-variants/variant_position/credible/roussos_2024/variant_figures/roussos_2024.childhood.GLU/rs71427137_profile_position.png",4,220,900)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-0.0295420591</v>
      </c>
      <c r="G1221" t="n">
        <v>0.3648645494385522</v>
      </c>
      <c r="H1221" t="n">
        <v>0.0103219525666899</v>
      </c>
      <c r="I1221" t="n">
        <v>0.6185303144535974</v>
      </c>
      <c r="J1221" t="n">
        <v>0.0262942091545014</v>
      </c>
      <c r="K1221" t="n">
        <v>0.4627670266295738</v>
      </c>
      <c r="L1221" t="b">
        <v>0</v>
      </c>
      <c r="M1221" t="b">
        <v>0</v>
      </c>
      <c r="N1221" t="inlineStr">
        <is>
          <t>ref</t>
        </is>
      </c>
      <c r="O1221" t="n">
        <v>-100</v>
      </c>
      <c r="P1221" t="n">
        <v>0.003868</v>
      </c>
      <c r="Q1221" t="n">
        <v>100</v>
      </c>
      <c r="R1221" t="n">
        <v>0.092</v>
      </c>
      <c r="S1221">
        <f>IMAGE("https://mitra.stanford.edu/kundaje/oak/projects/neuro-variants/variant_position/credible/roussos_2024/variant_figures/roussos_2024.childhood.GLU/rs2332687_count_position.png",4,220,900)</f>
        <v/>
      </c>
      <c r="T1221">
        <f>IMAGE("https://mitra.stanford.edu/kundaje/oak/projects/neuro-variants/variant_position/credible/roussos_2024/variant_figures/roussos_2024.childhood.GLU/rs2332687_profile_position.png",4,220,900)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0.0127979316</v>
      </c>
      <c r="G1222" t="n">
        <v>0.4775916200138627</v>
      </c>
      <c r="H1222" t="n">
        <v>0.022860175479882</v>
      </c>
      <c r="I1222" t="n">
        <v>0.06316158067370189</v>
      </c>
      <c r="J1222" t="n">
        <v>0.0349995364026909</v>
      </c>
      <c r="K1222" t="n">
        <v>0.4274780067407411</v>
      </c>
      <c r="L1222" t="b">
        <v>0</v>
      </c>
      <c r="M1222" t="b">
        <v>0</v>
      </c>
      <c r="N1222" t="inlineStr">
        <is>
          <t>alt</t>
        </is>
      </c>
      <c r="O1222" t="n">
        <v>-25</v>
      </c>
      <c r="P1222" t="n">
        <v>0.006165</v>
      </c>
      <c r="Q1222" t="n">
        <v>-20</v>
      </c>
      <c r="R1222" t="n">
        <v>0.042</v>
      </c>
      <c r="S1222">
        <f>IMAGE("https://mitra.stanford.edu/kundaje/oak/projects/neuro-variants/variant_position/credible/roussos_2024/variant_figures/roussos_2024.childhood.GLU/rs2190864_count_position.png",4,220,900)</f>
        <v/>
      </c>
      <c r="T1222">
        <f>IMAGE("https://mitra.stanford.edu/kundaje/oak/projects/neuro-variants/variant_position/credible/roussos_2024/variant_figures/roussos_2024.childhood.GLU/rs2190864_profile_position.png",4,220,900)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0.1313729792</v>
      </c>
      <c r="G1223" t="n">
        <v>0.0234446854420477</v>
      </c>
      <c r="H1223" t="n">
        <v>0.0219269311421483</v>
      </c>
      <c r="I1223" t="n">
        <v>0.070525243144498</v>
      </c>
      <c r="J1223" t="n">
        <v>0.153146795512378</v>
      </c>
      <c r="K1223" t="n">
        <v>0.1867172601602634</v>
      </c>
      <c r="L1223" t="b">
        <v>0</v>
      </c>
      <c r="M1223" t="b">
        <v>0</v>
      </c>
      <c r="N1223" t="inlineStr">
        <is>
          <t>alt</t>
        </is>
      </c>
      <c r="O1223" t="n">
        <v>-20</v>
      </c>
      <c r="P1223" t="n">
        <v>0.01425</v>
      </c>
      <c r="Q1223" t="n">
        <v>70</v>
      </c>
      <c r="R1223" t="n">
        <v>0.0415</v>
      </c>
      <c r="S1223">
        <f>IMAGE("https://mitra.stanford.edu/kundaje/oak/projects/neuro-variants/variant_position/credible/roussos_2024/variant_figures/roussos_2024.childhood.GLU/rs2877774_count_position.png",4,220,900)</f>
        <v/>
      </c>
      <c r="T1223">
        <f>IMAGE("https://mitra.stanford.edu/kundaje/oak/projects/neuro-variants/variant_position/credible/roussos_2024/variant_figures/roussos_2024.childhood.GLU/rs2877774_profile_position.png",4,220,900)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-0.05198579046</v>
      </c>
      <c r="G1224" t="n">
        <v>0.1675024854460802</v>
      </c>
      <c r="H1224" t="n">
        <v>0.009802593260828499</v>
      </c>
      <c r="I1224" t="n">
        <v>0.6790512487789255</v>
      </c>
      <c r="J1224" t="n">
        <v>0.1587995920343679</v>
      </c>
      <c r="K1224" t="n">
        <v>0.1826104508436786</v>
      </c>
      <c r="L1224" t="b">
        <v>0</v>
      </c>
      <c r="M1224" t="b">
        <v>0</v>
      </c>
      <c r="N1224" t="inlineStr">
        <is>
          <t>ref</t>
        </is>
      </c>
      <c r="O1224" t="n">
        <v>70</v>
      </c>
      <c r="P1224" t="n">
        <v>0.00505</v>
      </c>
      <c r="Q1224" t="n">
        <v>70</v>
      </c>
      <c r="R1224" t="n">
        <v>0.1561</v>
      </c>
      <c r="S1224">
        <f>IMAGE("https://mitra.stanford.edu/kundaje/oak/projects/neuro-variants/variant_position/credible/roussos_2024/variant_figures/roussos_2024.childhood.GLU/rs145192742_count_position.png",4,220,900)</f>
        <v/>
      </c>
      <c r="T1224">
        <f>IMAGE("https://mitra.stanford.edu/kundaje/oak/projects/neuro-variants/variant_position/credible/roussos_2024/variant_figures/roussos_2024.childhood.GLU/rs145192742_profile_position.png",4,220,900)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0.0941816312</v>
      </c>
      <c r="G1225" t="n">
        <v>0.0538196329002332</v>
      </c>
      <c r="H1225" t="n">
        <v>0.0111518852243334</v>
      </c>
      <c r="I1225" t="n">
        <v>0.5245616260595395</v>
      </c>
      <c r="J1225" t="n">
        <v>0.031080593816642</v>
      </c>
      <c r="K1225" t="n">
        <v>0.4305904837800502</v>
      </c>
      <c r="L1225" t="b">
        <v>0</v>
      </c>
      <c r="M1225" t="b">
        <v>0</v>
      </c>
      <c r="N1225" t="inlineStr">
        <is>
          <t>alt</t>
        </is>
      </c>
      <c r="O1225" t="n">
        <v>100</v>
      </c>
      <c r="P1225" t="n">
        <v>0.005753</v>
      </c>
      <c r="Q1225" t="n">
        <v>-65</v>
      </c>
      <c r="R1225" t="n">
        <v>0.04947</v>
      </c>
      <c r="S1225">
        <f>IMAGE("https://mitra.stanford.edu/kundaje/oak/projects/neuro-variants/variant_position/credible/roussos_2024/variant_figures/roussos_2024.childhood.GLU/rs1779550_count_position.png",4,220,900)</f>
        <v/>
      </c>
      <c r="T1225">
        <f>IMAGE("https://mitra.stanford.edu/kundaje/oak/projects/neuro-variants/variant_position/credible/roussos_2024/variant_figures/roussos_2024.childhood.GLU/rs1779550_profile_position.png",4,220,900)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-0.210522572</v>
      </c>
      <c r="G1226" t="n">
        <v>0.0078022338925655</v>
      </c>
      <c r="H1226" t="n">
        <v>0.0295888358183732</v>
      </c>
      <c r="I1226" t="n">
        <v>0.0255790946308493</v>
      </c>
      <c r="J1226" t="n">
        <v>0.0304408295301183</v>
      </c>
      <c r="K1226" t="n">
        <v>0.4262455227527091</v>
      </c>
      <c r="L1226" t="b">
        <v>1</v>
      </c>
      <c r="M1226" t="b">
        <v>1</v>
      </c>
      <c r="N1226" t="inlineStr">
        <is>
          <t>ref</t>
        </is>
      </c>
      <c r="O1226" t="n">
        <v>-25</v>
      </c>
      <c r="P1226" t="n">
        <v>0.00859</v>
      </c>
      <c r="Q1226" t="n">
        <v>25</v>
      </c>
      <c r="R1226" t="n">
        <v>0.03455</v>
      </c>
      <c r="S1226">
        <f>IMAGE("https://mitra.stanford.edu/kundaje/oak/projects/neuro-variants/variant_position/credible/roussos_2024/variant_figures/roussos_2024.childhood.GLU/rs2841157_count_position.png",4,220,900)</f>
        <v/>
      </c>
      <c r="T1226">
        <f>IMAGE("https://mitra.stanford.edu/kundaje/oak/projects/neuro-variants/variant_position/credible/roussos_2024/variant_figures/roussos_2024.childhood.GLU/rs2841157_profile_position.png",4,220,900)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0.0196654458</v>
      </c>
      <c r="G1227" t="n">
        <v>0.3805721899037775</v>
      </c>
      <c r="H1227" t="n">
        <v>0.0248765145073527</v>
      </c>
      <c r="I1227" t="n">
        <v>0.0500022286843601</v>
      </c>
      <c r="J1227" t="n">
        <v>0.2586110624620107</v>
      </c>
      <c r="K1227" t="n">
        <v>0.1151775357168192</v>
      </c>
      <c r="L1227" t="b">
        <v>0</v>
      </c>
      <c r="M1227" t="b">
        <v>0</v>
      </c>
      <c r="N1227" t="inlineStr">
        <is>
          <t>alt</t>
        </is>
      </c>
      <c r="O1227" t="n">
        <v>-100</v>
      </c>
      <c r="P1227" t="n">
        <v>0.015305</v>
      </c>
      <c r="Q1227" t="n">
        <v>60</v>
      </c>
      <c r="R1227" t="n">
        <v>0.1255</v>
      </c>
      <c r="S1227">
        <f>IMAGE("https://mitra.stanford.edu/kundaje/oak/projects/neuro-variants/variant_position/credible/roussos_2024/variant_figures/roussos_2024.childhood.GLU/rs995791_count_position.png",4,220,900)</f>
        <v/>
      </c>
      <c r="T1227">
        <f>IMAGE("https://mitra.stanford.edu/kundaje/oak/projects/neuro-variants/variant_position/credible/roussos_2024/variant_figures/roussos_2024.childhood.GLU/rs995791_profile_position.png",4,220,900)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-0.04188461172</v>
      </c>
      <c r="G1228" t="n">
        <v>0.2488327616773812</v>
      </c>
      <c r="H1228" t="n">
        <v>0.0099903445830535</v>
      </c>
      <c r="I1228" t="n">
        <v>0.6604253783991786</v>
      </c>
      <c r="J1228" t="n">
        <v>0.1574912174065336</v>
      </c>
      <c r="K1228" t="n">
        <v>0.1803100644781792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0.0239</v>
      </c>
      <c r="Q1228" t="n">
        <v>-70</v>
      </c>
      <c r="R1228" t="n">
        <v>0.03467</v>
      </c>
      <c r="S1228">
        <f>IMAGE("https://mitra.stanford.edu/kundaje/oak/projects/neuro-variants/variant_position/credible/roussos_2024/variant_figures/roussos_2024.childhood.GLU/rs1157827_count_position.png",4,220,900)</f>
        <v/>
      </c>
      <c r="T1228">
        <f>IMAGE("https://mitra.stanford.edu/kundaje/oak/projects/neuro-variants/variant_position/credible/roussos_2024/variant_figures/roussos_2024.childhood.GLU/rs1157827_profile_position.png",4,220,900)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-0.00095487266</v>
      </c>
      <c r="G1229" t="n">
        <v>0.8060569177556314</v>
      </c>
      <c r="H1229" t="n">
        <v>0.0192781159404673</v>
      </c>
      <c r="I1229" t="n">
        <v>0.1110941184466061</v>
      </c>
      <c r="J1229" t="n">
        <v>0.06289573181410769</v>
      </c>
      <c r="K1229" t="n">
        <v>0.3280254131815869</v>
      </c>
      <c r="L1229" t="b">
        <v>0</v>
      </c>
      <c r="M1229" t="b">
        <v>0</v>
      </c>
      <c r="N1229" t="inlineStr">
        <is>
          <t>ref</t>
        </is>
      </c>
      <c r="O1229" t="n">
        <v>100</v>
      </c>
      <c r="P1229" t="n">
        <v>0.0119</v>
      </c>
      <c r="Q1229" t="n">
        <v>100</v>
      </c>
      <c r="R1229" t="n">
        <v>0.1454</v>
      </c>
      <c r="S1229">
        <f>IMAGE("https://mitra.stanford.edu/kundaje/oak/projects/neuro-variants/variant_position/credible/roussos_2024/variant_figures/roussos_2024.childhood.GLU/rs67517866_count_position.png",4,220,900)</f>
        <v/>
      </c>
      <c r="T1229">
        <f>IMAGE("https://mitra.stanford.edu/kundaje/oak/projects/neuro-variants/variant_position/credible/roussos_2024/variant_figures/roussos_2024.childhood.GLU/rs67517866_profile_position.png",4,220,900)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-0.0214868838</v>
      </c>
      <c r="G1230" t="n">
        <v>0.4649901825342998</v>
      </c>
      <c r="H1230" t="n">
        <v>0.0208020276037059</v>
      </c>
      <c r="I1230" t="n">
        <v>0.08527714638118029</v>
      </c>
      <c r="J1230" t="n">
        <v>0.0520815519177475</v>
      </c>
      <c r="K1230" t="n">
        <v>0.3576525289096707</v>
      </c>
      <c r="L1230" t="b">
        <v>0</v>
      </c>
      <c r="M1230" t="b">
        <v>0</v>
      </c>
      <c r="N1230" t="inlineStr">
        <is>
          <t>ref</t>
        </is>
      </c>
      <c r="O1230" t="n">
        <v>40</v>
      </c>
      <c r="P1230" t="n">
        <v>0.00784</v>
      </c>
      <c r="Q1230" t="n">
        <v>50</v>
      </c>
      <c r="R1230" t="n">
        <v>0.1523</v>
      </c>
      <c r="S1230">
        <f>IMAGE("https://mitra.stanford.edu/kundaje/oak/projects/neuro-variants/variant_position/credible/roussos_2024/variant_figures/roussos_2024.childhood.GLU/rs28637508_count_position.png",4,220,900)</f>
        <v/>
      </c>
      <c r="T1230">
        <f>IMAGE("https://mitra.stanford.edu/kundaje/oak/projects/neuro-variants/variant_position/credible/roussos_2024/variant_figures/roussos_2024.childhood.GLU/rs28637508_profile_position.png",4,220,900)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0.00294742768</v>
      </c>
      <c r="G1231" t="n">
        <v>0.7791609254515787</v>
      </c>
      <c r="H1231" t="n">
        <v>0.0313212379935564</v>
      </c>
      <c r="I1231" t="n">
        <v>0.0179518332374611</v>
      </c>
      <c r="J1231" t="n">
        <v>0.0017688812881823</v>
      </c>
      <c r="K1231" t="n">
        <v>0.7909633925909205</v>
      </c>
      <c r="L1231" t="b">
        <v>0</v>
      </c>
      <c r="M1231" t="b">
        <v>0</v>
      </c>
      <c r="N1231" t="inlineStr">
        <is>
          <t>alt</t>
        </is>
      </c>
      <c r="O1231" t="n">
        <v>5</v>
      </c>
      <c r="P1231" t="n">
        <v>0.0001526</v>
      </c>
      <c r="Q1231" t="n">
        <v>-55</v>
      </c>
      <c r="R1231" t="n">
        <v>0.1141</v>
      </c>
      <c r="S1231">
        <f>IMAGE("https://mitra.stanford.edu/kundaje/oak/projects/neuro-variants/variant_position/credible/roussos_2024/variant_figures/roussos_2024.childhood.GLU/rs7145105_count_position.png",4,220,900)</f>
        <v/>
      </c>
      <c r="T1231">
        <f>IMAGE("https://mitra.stanford.edu/kundaje/oak/projects/neuro-variants/variant_position/credible/roussos_2024/variant_figures/roussos_2024.childhood.GLU/rs7145105_profile_position.png",4,220,900)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0.0108868858</v>
      </c>
      <c r="G1232" t="n">
        <v>0.6029277129101457</v>
      </c>
      <c r="H1232" t="n">
        <v>0.0058952152111777</v>
      </c>
      <c r="I1232" t="n">
        <v>0.9852146574162872</v>
      </c>
      <c r="J1232" t="n">
        <v>0.018417175765193</v>
      </c>
      <c r="K1232" t="n">
        <v>0.506592820401367</v>
      </c>
      <c r="L1232" t="b">
        <v>0</v>
      </c>
      <c r="M1232" t="b">
        <v>0</v>
      </c>
      <c r="N1232" t="inlineStr">
        <is>
          <t>alt</t>
        </is>
      </c>
      <c r="O1232" t="n">
        <v>-90</v>
      </c>
      <c r="P1232" t="n">
        <v>0.01136</v>
      </c>
      <c r="Q1232" t="n">
        <v>75</v>
      </c>
      <c r="R1232" t="n">
        <v>0.08740000000000001</v>
      </c>
      <c r="S1232">
        <f>IMAGE("https://mitra.stanford.edu/kundaje/oak/projects/neuro-variants/variant_position/credible/roussos_2024/variant_figures/roussos_2024.childhood.GLU/rs12717596_count_position.png",4,220,900)</f>
        <v/>
      </c>
      <c r="T1232">
        <f>IMAGE("https://mitra.stanford.edu/kundaje/oak/projects/neuro-variants/variant_position/credible/roussos_2024/variant_figures/roussos_2024.childhood.GLU/rs12717596_profile_position.png",4,220,900)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-0.0722421251999999</v>
      </c>
      <c r="G1233" t="n">
        <v>0.1148491671771453</v>
      </c>
      <c r="H1233" t="n">
        <v>0.0146282766590223</v>
      </c>
      <c r="I1233" t="n">
        <v>0.2715099907675554</v>
      </c>
      <c r="J1233" t="n">
        <v>0.0264672854832228</v>
      </c>
      <c r="K1233" t="n">
        <v>0.4546331632215612</v>
      </c>
      <c r="L1233" t="b">
        <v>0</v>
      </c>
      <c r="M1233" t="b">
        <v>0</v>
      </c>
      <c r="N1233" t="inlineStr">
        <is>
          <t>ref</t>
        </is>
      </c>
      <c r="O1233" t="n">
        <v>-65</v>
      </c>
      <c r="P1233" t="n">
        <v>0.005516</v>
      </c>
      <c r="Q1233" t="n">
        <v>-60</v>
      </c>
      <c r="R1233" t="n">
        <v>0.08105</v>
      </c>
      <c r="S1233">
        <f>IMAGE("https://mitra.stanford.edu/kundaje/oak/projects/neuro-variants/variant_position/credible/roussos_2024/variant_figures/roussos_2024.childhood.GLU/rs7148526_count_position.png",4,220,900)</f>
        <v/>
      </c>
      <c r="T1233">
        <f>IMAGE("https://mitra.stanford.edu/kundaje/oak/projects/neuro-variants/variant_position/credible/roussos_2024/variant_figures/roussos_2024.childhood.GLU/rs7148526_profile_position.png",4,220,900)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-0.005332083754</v>
      </c>
      <c r="G1234" t="n">
        <v>0.8016192660350981</v>
      </c>
      <c r="H1234" t="n">
        <v>0.0237411536649168</v>
      </c>
      <c r="I1234" t="n">
        <v>0.0542179679104393</v>
      </c>
      <c r="J1234" t="n">
        <v>0.0858417381808441</v>
      </c>
      <c r="K1234" t="n">
        <v>0.2704405989248241</v>
      </c>
      <c r="L1234" t="b">
        <v>0</v>
      </c>
      <c r="M1234" t="b">
        <v>0</v>
      </c>
      <c r="N1234" t="inlineStr">
        <is>
          <t>ref</t>
        </is>
      </c>
      <c r="O1234" t="n">
        <v>-95</v>
      </c>
      <c r="P1234" t="n">
        <v>0.0825</v>
      </c>
      <c r="Q1234" t="n">
        <v>-100</v>
      </c>
      <c r="R1234" t="n">
        <v>0.3608</v>
      </c>
      <c r="S1234">
        <f>IMAGE("https://mitra.stanford.edu/kundaje/oak/projects/neuro-variants/variant_position/credible/roussos_2024/variant_figures/roussos_2024.childhood.GLU/rs3001377_count_position.png",4,220,900)</f>
        <v/>
      </c>
      <c r="T1234">
        <f>IMAGE("https://mitra.stanford.edu/kundaje/oak/projects/neuro-variants/variant_position/credible/roussos_2024/variant_figures/roussos_2024.childhood.GLU/rs3001377_profile_position.png",4,220,900)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-0.223564302</v>
      </c>
      <c r="G1235" t="n">
        <v>0.0064673389593256</v>
      </c>
      <c r="H1235" t="n">
        <v>0.0356990439312806</v>
      </c>
      <c r="I1235" t="n">
        <v>0.0120713192010426</v>
      </c>
      <c r="J1235" t="n">
        <v>0.0801796697126726</v>
      </c>
      <c r="K1235" t="n">
        <v>0.2828655485344894</v>
      </c>
      <c r="L1235" t="b">
        <v>1</v>
      </c>
      <c r="M1235" t="b">
        <v>1</v>
      </c>
      <c r="N1235" t="inlineStr">
        <is>
          <t>ref</t>
        </is>
      </c>
      <c r="O1235" t="n">
        <v>-30</v>
      </c>
      <c r="P1235" t="n">
        <v>0.00733</v>
      </c>
      <c r="Q1235" t="n">
        <v>30</v>
      </c>
      <c r="R1235" t="n">
        <v>0.02441</v>
      </c>
      <c r="S1235">
        <f>IMAGE("https://mitra.stanford.edu/kundaje/oak/projects/neuro-variants/variant_position/credible/roussos_2024/variant_figures/roussos_2024.childhood.GLU/rs77782646_count_position.png",4,220,900)</f>
        <v/>
      </c>
      <c r="T1235">
        <f>IMAGE("https://mitra.stanford.edu/kundaje/oak/projects/neuro-variants/variant_position/credible/roussos_2024/variant_figures/roussos_2024.childhood.GLU/rs77782646_profile_position.png",4,220,900)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-0.018671183426</v>
      </c>
      <c r="G1236" t="n">
        <v>0.521597842972397</v>
      </c>
      <c r="H1236" t="n">
        <v>0.0253569610537344</v>
      </c>
      <c r="I1236" t="n">
        <v>0.0421434911006401</v>
      </c>
      <c r="J1236" t="n">
        <v>0.0583205414816569</v>
      </c>
      <c r="K1236" t="n">
        <v>0.3291665260987512</v>
      </c>
      <c r="L1236" t="b">
        <v>0</v>
      </c>
      <c r="M1236" t="b">
        <v>0</v>
      </c>
      <c r="N1236" t="inlineStr">
        <is>
          <t>ref</t>
        </is>
      </c>
      <c r="O1236" t="n">
        <v>95</v>
      </c>
      <c r="P1236" t="n">
        <v>0.02219</v>
      </c>
      <c r="Q1236" t="n">
        <v>-70</v>
      </c>
      <c r="R1236" t="n">
        <v>0.1578</v>
      </c>
      <c r="S1236">
        <f>IMAGE("https://mitra.stanford.edu/kundaje/oak/projects/neuro-variants/variant_position/credible/roussos_2024/variant_figures/roussos_2024.childhood.GLU/rs8004742_count_position.png",4,220,900)</f>
        <v/>
      </c>
      <c r="T1236">
        <f>IMAGE("https://mitra.stanford.edu/kundaje/oak/projects/neuro-variants/variant_position/credible/roussos_2024/variant_figures/roussos_2024.childhood.GLU/rs8004742_profile_position.png",4,220,900)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-0.0065429999999999</v>
      </c>
      <c r="G1237" t="n">
        <v>0.6777424092549477</v>
      </c>
      <c r="H1237" t="n">
        <v>0.0257851287656703</v>
      </c>
      <c r="I1237" t="n">
        <v>0.038437128067398</v>
      </c>
      <c r="J1237" t="n">
        <v>0.0731247488847908</v>
      </c>
      <c r="K1237" t="n">
        <v>0.2938858017716886</v>
      </c>
      <c r="L1237" t="b">
        <v>0</v>
      </c>
      <c r="M1237" t="b">
        <v>0</v>
      </c>
      <c r="N1237" t="inlineStr">
        <is>
          <t>ref</t>
        </is>
      </c>
      <c r="O1237" t="n">
        <v>-75</v>
      </c>
      <c r="P1237" t="n">
        <v>0.007652</v>
      </c>
      <c r="Q1237" t="n">
        <v>-85</v>
      </c>
      <c r="R1237" t="n">
        <v>0.1399</v>
      </c>
      <c r="S1237">
        <f>IMAGE("https://mitra.stanford.edu/kundaje/oak/projects/neuro-variants/variant_position/credible/roussos_2024/variant_figures/roussos_2024.childhood.GLU/rs146120508_count_position.png",4,220,900)</f>
        <v/>
      </c>
      <c r="T1237">
        <f>IMAGE("https://mitra.stanford.edu/kundaje/oak/projects/neuro-variants/variant_position/credible/roussos_2024/variant_figures/roussos_2024.childhood.GLU/rs146120508_profile_position.png",4,220,900)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-0.00287378503</v>
      </c>
      <c r="G1238" t="n">
        <v>0.8902353371773525</v>
      </c>
      <c r="H1238" t="n">
        <v>0.0198212356978166</v>
      </c>
      <c r="I1238" t="n">
        <v>0.099771198820215</v>
      </c>
      <c r="J1238" t="n">
        <v>0.1226606364675944</v>
      </c>
      <c r="K1238" t="n">
        <v>0.2201608702541965</v>
      </c>
      <c r="L1238" t="b">
        <v>0</v>
      </c>
      <c r="M1238" t="b">
        <v>0</v>
      </c>
      <c r="N1238" t="inlineStr">
        <is>
          <t>ref</t>
        </is>
      </c>
      <c r="O1238" t="n">
        <v>100</v>
      </c>
      <c r="P1238" t="n">
        <v>0.0951</v>
      </c>
      <c r="Q1238" t="n">
        <v>100</v>
      </c>
      <c r="R1238" t="n">
        <v>0.6616</v>
      </c>
      <c r="S1238">
        <f>IMAGE("https://mitra.stanford.edu/kundaje/oak/projects/neuro-variants/variant_position/credible/roussos_2024/variant_figures/roussos_2024.childhood.GLU/rs8004689_count_position.png",4,220,900)</f>
        <v/>
      </c>
      <c r="T1238">
        <f>IMAGE("https://mitra.stanford.edu/kundaje/oak/projects/neuro-variants/variant_position/credible/roussos_2024/variant_figures/roussos_2024.childhood.GLU/rs8004689_profile_position.png",4,220,900)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0.01752303928</v>
      </c>
      <c r="G1239" t="n">
        <v>0.4827722178805553</v>
      </c>
      <c r="H1239" t="n">
        <v>0.0301640567629003</v>
      </c>
      <c r="I1239" t="n">
        <v>0.0204886580164239</v>
      </c>
      <c r="J1239" t="n">
        <v>0.1794832435328174</v>
      </c>
      <c r="K1239" t="n">
        <v>0.1656192058231983</v>
      </c>
      <c r="L1239" t="b">
        <v>0</v>
      </c>
      <c r="M1239" t="b">
        <v>0</v>
      </c>
      <c r="N1239" t="inlineStr">
        <is>
          <t>alt</t>
        </is>
      </c>
      <c r="O1239" t="n">
        <v>55</v>
      </c>
      <c r="P1239" t="n">
        <v>0.002686</v>
      </c>
      <c r="Q1239" t="n">
        <v>30</v>
      </c>
      <c r="R1239" t="n">
        <v>0.083</v>
      </c>
      <c r="S1239">
        <f>IMAGE("https://mitra.stanford.edu/kundaje/oak/projects/neuro-variants/variant_position/credible/roussos_2024/variant_figures/roussos_2024.childhood.GLU/rs184858889_count_position.png",4,220,900)</f>
        <v/>
      </c>
      <c r="T1239">
        <f>IMAGE("https://mitra.stanford.edu/kundaje/oak/projects/neuro-variants/variant_position/credible/roussos_2024/variant_figures/roussos_2024.childhood.GLU/rs184858889_profile_position.png",4,220,900)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0.0981078834</v>
      </c>
      <c r="G1240" t="n">
        <v>0.0467714755847361</v>
      </c>
      <c r="H1240" t="n">
        <v>0.0164165175019064</v>
      </c>
      <c r="I1240" t="n">
        <v>0.1993024178774957</v>
      </c>
      <c r="J1240" t="n">
        <v>0.0223062420802125</v>
      </c>
      <c r="K1240" t="n">
        <v>0.4808532033061117</v>
      </c>
      <c r="L1240" t="b">
        <v>0</v>
      </c>
      <c r="M1240" t="b">
        <v>0</v>
      </c>
      <c r="N1240" t="inlineStr">
        <is>
          <t>alt</t>
        </is>
      </c>
      <c r="O1240" t="n">
        <v>-75</v>
      </c>
      <c r="P1240" t="n">
        <v>0.006866</v>
      </c>
      <c r="Q1240" t="n">
        <v>-100</v>
      </c>
      <c r="R1240" t="n">
        <v>0.05347</v>
      </c>
      <c r="S1240">
        <f>IMAGE("https://mitra.stanford.edu/kundaje/oak/projects/neuro-variants/variant_position/credible/roussos_2024/variant_figures/roussos_2024.childhood.GLU/rs4144366_count_position.png",4,220,900)</f>
        <v/>
      </c>
      <c r="T1240">
        <f>IMAGE("https://mitra.stanford.edu/kundaje/oak/projects/neuro-variants/variant_position/credible/roussos_2024/variant_figures/roussos_2024.childhood.GLU/rs4144366_profile_position.png",4,220,900)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0.0367101642</v>
      </c>
      <c r="G1241" t="n">
        <v>0.2359826579493062</v>
      </c>
      <c r="H1241" t="n">
        <v>0.0147057375347247</v>
      </c>
      <c r="I1241" t="n">
        <v>0.2653625781687962</v>
      </c>
      <c r="J1241" t="n">
        <v>0.0363717844375534</v>
      </c>
      <c r="K1241" t="n">
        <v>0.3994595261931469</v>
      </c>
      <c r="L1241" t="b">
        <v>0</v>
      </c>
      <c r="M1241" t="b">
        <v>0</v>
      </c>
      <c r="N1241" t="inlineStr">
        <is>
          <t>alt</t>
        </is>
      </c>
      <c r="O1241" t="n">
        <v>-100</v>
      </c>
      <c r="P1241" t="n">
        <v>0.007755</v>
      </c>
      <c r="Q1241" t="n">
        <v>75</v>
      </c>
      <c r="R1241" t="n">
        <v>0.1057</v>
      </c>
      <c r="S1241">
        <f>IMAGE("https://mitra.stanford.edu/kundaje/oak/projects/neuro-variants/variant_position/credible/roussos_2024/variant_figures/roussos_2024.childhood.GLU/rs186989036_count_position.png",4,220,900)</f>
        <v/>
      </c>
      <c r="T1241">
        <f>IMAGE("https://mitra.stanford.edu/kundaje/oak/projects/neuro-variants/variant_position/credible/roussos_2024/variant_figures/roussos_2024.childhood.GLU/rs186989036_profile_position.png",4,220,900)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-0.04653324208</v>
      </c>
      <c r="G1242" t="n">
        <v>0.2084953562214843</v>
      </c>
      <c r="H1242" t="n">
        <v>0.0226602230363864</v>
      </c>
      <c r="I1242" t="n">
        <v>0.0638178269543328</v>
      </c>
      <c r="J1242" t="n">
        <v>0.1284978416969721</v>
      </c>
      <c r="K1242" t="n">
        <v>0.2130040500079432</v>
      </c>
      <c r="L1242" t="b">
        <v>0</v>
      </c>
      <c r="M1242" t="b">
        <v>0</v>
      </c>
      <c r="N1242" t="inlineStr">
        <is>
          <t>ref</t>
        </is>
      </c>
      <c r="O1242" t="n">
        <v>100</v>
      </c>
      <c r="P1242" t="n">
        <v>0.07935</v>
      </c>
      <c r="Q1242" t="n">
        <v>100</v>
      </c>
      <c r="R1242" t="n">
        <v>0.3381</v>
      </c>
      <c r="S1242">
        <f>IMAGE("https://mitra.stanford.edu/kundaje/oak/projects/neuro-variants/variant_position/credible/roussos_2024/variant_figures/roussos_2024.childhood.GLU/rs67378160_count_position.png",4,220,900)</f>
        <v/>
      </c>
      <c r="T1242">
        <f>IMAGE("https://mitra.stanford.edu/kundaje/oak/projects/neuro-variants/variant_position/credible/roussos_2024/variant_figures/roussos_2024.childhood.GLU/rs67378160_profile_position.png",4,220,900)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0.0051120432</v>
      </c>
      <c r="G1243" t="n">
        <v>0.738447909898355</v>
      </c>
      <c r="H1243" t="n">
        <v>0.0190894326362294</v>
      </c>
      <c r="I1243" t="n">
        <v>0.1188319012990998</v>
      </c>
      <c r="J1243" t="n">
        <v>0.0179329741312701</v>
      </c>
      <c r="K1243" t="n">
        <v>0.5086665420841239</v>
      </c>
      <c r="L1243" t="b">
        <v>0</v>
      </c>
      <c r="M1243" t="b">
        <v>0</v>
      </c>
      <c r="N1243" t="inlineStr">
        <is>
          <t>alt</t>
        </is>
      </c>
      <c r="O1243" t="n">
        <v>-10</v>
      </c>
      <c r="P1243" t="n">
        <v>0.002289</v>
      </c>
      <c r="Q1243" t="n">
        <v>-95</v>
      </c>
      <c r="R1243" t="n">
        <v>0.08594</v>
      </c>
      <c r="S1243">
        <f>IMAGE("https://mitra.stanford.edu/kundaje/oak/projects/neuro-variants/variant_position/credible/roussos_2024/variant_figures/roussos_2024.childhood.GLU/rs7146851_count_position.png",4,220,900)</f>
        <v/>
      </c>
      <c r="T1243">
        <f>IMAGE("https://mitra.stanford.edu/kundaje/oak/projects/neuro-variants/variant_position/credible/roussos_2024/variant_figures/roussos_2024.childhood.GLU/rs7146851_profile_position.png",4,220,900)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0.003389861812</v>
      </c>
      <c r="G1244" t="n">
        <v>0.8501710242275645</v>
      </c>
      <c r="H1244" t="n">
        <v>0.0251429320383587</v>
      </c>
      <c r="I1244" t="n">
        <v>0.0419681433681237</v>
      </c>
      <c r="J1244" t="n">
        <v>0.0020913389720501</v>
      </c>
      <c r="K1244" t="n">
        <v>0.7610904378616388</v>
      </c>
      <c r="L1244" t="b">
        <v>0</v>
      </c>
      <c r="M1244" t="b">
        <v>0</v>
      </c>
      <c r="N1244" t="inlineStr">
        <is>
          <t>alt</t>
        </is>
      </c>
      <c r="O1244" t="n">
        <v>60</v>
      </c>
      <c r="P1244" t="n">
        <v>0.002266</v>
      </c>
      <c r="Q1244" t="n">
        <v>65</v>
      </c>
      <c r="R1244" t="n">
        <v>0.0564</v>
      </c>
      <c r="S1244">
        <f>IMAGE("https://mitra.stanford.edu/kundaje/oak/projects/neuro-variants/variant_position/credible/roussos_2024/variant_figures/roussos_2024.childhood.GLU/rs17129021_count_position.png",4,220,900)</f>
        <v/>
      </c>
      <c r="T1244">
        <f>IMAGE("https://mitra.stanford.edu/kundaje/oak/projects/neuro-variants/variant_position/credible/roussos_2024/variant_figures/roussos_2024.childhood.GLU/rs17129021_profile_position.png",4,220,900)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0.0030239849</v>
      </c>
      <c r="G1245" t="n">
        <v>0.8084241711988976</v>
      </c>
      <c r="H1245" t="n">
        <v>0.0060335608123828</v>
      </c>
      <c r="I1245" t="n">
        <v>0.9661976263525044</v>
      </c>
      <c r="J1245" t="n">
        <v>0.0224391399754807</v>
      </c>
      <c r="K1245" t="n">
        <v>0.4765566354849299</v>
      </c>
      <c r="L1245" t="b">
        <v>0</v>
      </c>
      <c r="M1245" t="b">
        <v>0</v>
      </c>
      <c r="N1245" t="inlineStr">
        <is>
          <t>alt</t>
        </is>
      </c>
      <c r="O1245" t="n">
        <v>60</v>
      </c>
      <c r="P1245" t="n">
        <v>0.01212</v>
      </c>
      <c r="Q1245" t="n">
        <v>10</v>
      </c>
      <c r="R1245" t="n">
        <v>0.02158</v>
      </c>
      <c r="S1245">
        <f>IMAGE("https://mitra.stanford.edu/kundaje/oak/projects/neuro-variants/variant_position/credible/roussos_2024/variant_figures/roussos_2024.childhood.GLU/rs12591010_count_position.png",4,220,900)</f>
        <v/>
      </c>
      <c r="T1245">
        <f>IMAGE("https://mitra.stanford.edu/kundaje/oak/projects/neuro-variants/variant_position/credible/roussos_2024/variant_figures/roussos_2024.childhood.GLU/rs12591010_profile_position.png",4,220,900)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-0.0009753766199999</v>
      </c>
      <c r="G1246" t="n">
        <v>0.7861416591565769</v>
      </c>
      <c r="H1246" t="n">
        <v>0.008764642184813799</v>
      </c>
      <c r="I1246" t="n">
        <v>0.8006469026903849</v>
      </c>
      <c r="J1246" t="n">
        <v>0.1266568452718224</v>
      </c>
      <c r="K1246" t="n">
        <v>0.2161036081348578</v>
      </c>
      <c r="L1246" t="b">
        <v>0</v>
      </c>
      <c r="M1246" t="b">
        <v>0</v>
      </c>
      <c r="N1246" t="inlineStr">
        <is>
          <t>ref</t>
        </is>
      </c>
      <c r="O1246" t="n">
        <v>100</v>
      </c>
      <c r="P1246" t="n">
        <v>0.0238</v>
      </c>
      <c r="Q1246" t="n">
        <v>80</v>
      </c>
      <c r="R1246" t="n">
        <v>0.0785</v>
      </c>
      <c r="S1246">
        <f>IMAGE("https://mitra.stanford.edu/kundaje/oak/projects/neuro-variants/variant_position/credible/roussos_2024/variant_figures/roussos_2024.childhood.GLU/rs942065_count_position.png",4,220,900)</f>
        <v/>
      </c>
      <c r="T1246">
        <f>IMAGE("https://mitra.stanford.edu/kundaje/oak/projects/neuro-variants/variant_position/credible/roussos_2024/variant_figures/roussos_2024.childhood.GLU/rs942065_profile_position.png",4,220,900)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0.0946904492</v>
      </c>
      <c r="G1247" t="n">
        <v>0.0505334482927293</v>
      </c>
      <c r="H1247" t="n">
        <v>0.0123369064017202</v>
      </c>
      <c r="I1247" t="n">
        <v>0.4176461213400919</v>
      </c>
      <c r="J1247" t="n">
        <v>0.1399548765285833</v>
      </c>
      <c r="K1247" t="n">
        <v>0.2062471163774763</v>
      </c>
      <c r="L1247" t="b">
        <v>0</v>
      </c>
      <c r="M1247" t="b">
        <v>0</v>
      </c>
      <c r="N1247" t="inlineStr">
        <is>
          <t>alt</t>
        </is>
      </c>
      <c r="O1247" t="n">
        <v>75</v>
      </c>
      <c r="P1247" t="n">
        <v>0.002172</v>
      </c>
      <c r="Q1247" t="n">
        <v>-100</v>
      </c>
      <c r="R1247" t="n">
        <v>0.05835</v>
      </c>
      <c r="S1247">
        <f>IMAGE("https://mitra.stanford.edu/kundaje/oak/projects/neuro-variants/variant_position/credible/roussos_2024/variant_figures/roussos_2024.childhood.GLU/rs947191_count_position.png",4,220,900)</f>
        <v/>
      </c>
      <c r="T1247">
        <f>IMAGE("https://mitra.stanford.edu/kundaje/oak/projects/neuro-variants/variant_position/credible/roussos_2024/variant_figures/roussos_2024.childhood.GLU/rs947191_profile_position.png",4,220,900)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0.0582415805999999</v>
      </c>
      <c r="G1248" t="n">
        <v>0.1314457893273721</v>
      </c>
      <c r="H1248" t="n">
        <v>0.030772355340006</v>
      </c>
      <c r="I1248" t="n">
        <v>0.0191019553877814</v>
      </c>
      <c r="J1248" t="n">
        <v>0.2370115487240771</v>
      </c>
      <c r="K1248" t="n">
        <v>0.1261052850184646</v>
      </c>
      <c r="L1248" t="b">
        <v>1</v>
      </c>
      <c r="M1248" t="b">
        <v>0</v>
      </c>
      <c r="N1248" t="inlineStr">
        <is>
          <t>alt</t>
        </is>
      </c>
      <c r="O1248" t="n">
        <v>-25</v>
      </c>
      <c r="P1248" t="n">
        <v>0.0006256</v>
      </c>
      <c r="Q1248" t="n">
        <v>10</v>
      </c>
      <c r="R1248" t="n">
        <v>0.01587</v>
      </c>
      <c r="S1248">
        <f>IMAGE("https://mitra.stanford.edu/kundaje/oak/projects/neuro-variants/variant_position/credible/roussos_2024/variant_figures/roussos_2024.childhood.GLU/rs2614457_count_position.png",4,220,900)</f>
        <v/>
      </c>
      <c r="T1248">
        <f>IMAGE("https://mitra.stanford.edu/kundaje/oak/projects/neuro-variants/variant_position/credible/roussos_2024/variant_figures/roussos_2024.childhood.GLU/rs2614457_profile_position.png",4,220,900)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0.0074338771399999</v>
      </c>
      <c r="G1249" t="n">
        <v>0.4512001873729745</v>
      </c>
      <c r="H1249" t="n">
        <v>0.010968811311172</v>
      </c>
      <c r="I1249" t="n">
        <v>0.5555434337768669</v>
      </c>
      <c r="J1249" t="n">
        <v>0.2070353467192763</v>
      </c>
      <c r="K1249" t="n">
        <v>0.1434730150276338</v>
      </c>
      <c r="L1249" t="b">
        <v>0</v>
      </c>
      <c r="M1249" t="b">
        <v>0</v>
      </c>
      <c r="N1249" t="inlineStr">
        <is>
          <t>alt</t>
        </is>
      </c>
      <c r="O1249" t="n">
        <v>-80</v>
      </c>
      <c r="P1249" t="n">
        <v>0.002487</v>
      </c>
      <c r="Q1249" t="n">
        <v>-70</v>
      </c>
      <c r="R1249" t="n">
        <v>0.09375</v>
      </c>
      <c r="S1249">
        <f>IMAGE("https://mitra.stanford.edu/kundaje/oak/projects/neuro-variants/variant_position/credible/roussos_2024/variant_figures/roussos_2024.childhood.GLU/rs2693695_count_position.png",4,220,900)</f>
        <v/>
      </c>
      <c r="T1249">
        <f>IMAGE("https://mitra.stanford.edu/kundaje/oak/projects/neuro-variants/variant_position/credible/roussos_2024/variant_figures/roussos_2024.childhood.GLU/rs2693695_profile_position.png",4,220,900)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-0.025818036</v>
      </c>
      <c r="G1250" t="n">
        <v>0.3868538908362385</v>
      </c>
      <c r="H1250" t="n">
        <v>0.0163961664121662</v>
      </c>
      <c r="I1250" t="n">
        <v>0.1923532929853028</v>
      </c>
      <c r="J1250" t="n">
        <v>0.8158333934292807</v>
      </c>
      <c r="K1250" t="n">
        <v>0.0063003486814999</v>
      </c>
      <c r="L1250" t="b">
        <v>0</v>
      </c>
      <c r="M1250" t="b">
        <v>0</v>
      </c>
      <c r="N1250" t="inlineStr">
        <is>
          <t>ref</t>
        </is>
      </c>
      <c r="O1250" t="n">
        <v>100</v>
      </c>
      <c r="P1250" t="n">
        <v>0.00508</v>
      </c>
      <c r="Q1250" t="n">
        <v>35</v>
      </c>
      <c r="R1250" t="n">
        <v>0.02753</v>
      </c>
      <c r="S1250">
        <f>IMAGE("https://mitra.stanford.edu/kundaje/oak/projects/neuro-variants/variant_position/credible/roussos_2024/variant_figures/roussos_2024.childhood.GLU/rs12895055_count_position.png",4,220,900)</f>
        <v/>
      </c>
      <c r="T1250">
        <f>IMAGE("https://mitra.stanford.edu/kundaje/oak/projects/neuro-variants/variant_position/credible/roussos_2024/variant_figures/roussos_2024.childhood.GLU/rs12895055_profile_position.png",4,220,900)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0.00218220726</v>
      </c>
      <c r="G1251" t="n">
        <v>0.7914219265689239</v>
      </c>
      <c r="H1251" t="n">
        <v>0.0182661673757515</v>
      </c>
      <c r="I1251" t="n">
        <v>0.1331743398800026</v>
      </c>
      <c r="J1251" t="n">
        <v>0.1617789774073577</v>
      </c>
      <c r="K1251" t="n">
        <v>0.1769631771628515</v>
      </c>
      <c r="L1251" t="b">
        <v>0</v>
      </c>
      <c r="M1251" t="b">
        <v>0</v>
      </c>
      <c r="N1251" t="inlineStr">
        <is>
          <t>alt</t>
        </is>
      </c>
      <c r="O1251" t="n">
        <v>90</v>
      </c>
      <c r="P1251" t="n">
        <v>0.005676</v>
      </c>
      <c r="Q1251" t="n">
        <v>95</v>
      </c>
      <c r="R1251" t="n">
        <v>0.1658</v>
      </c>
      <c r="S1251">
        <f>IMAGE("https://mitra.stanford.edu/kundaje/oak/projects/neuro-variants/variant_position/credible/roussos_2024/variant_figures/roussos_2024.childhood.GLU/rs7147531_count_position.png",4,220,900)</f>
        <v/>
      </c>
      <c r="T1251">
        <f>IMAGE("https://mitra.stanford.edu/kundaje/oak/projects/neuro-variants/variant_position/credible/roussos_2024/variant_figures/roussos_2024.childhood.GLU/rs7147531_profile_position.png",4,220,900)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-0.0282680872199999</v>
      </c>
      <c r="G1252" t="n">
        <v>0.384258701940486</v>
      </c>
      <c r="H1252" t="n">
        <v>0.008993064106677001</v>
      </c>
      <c r="I1252" t="n">
        <v>0.7785749259509919</v>
      </c>
      <c r="J1252" t="n">
        <v>0.019134206269896</v>
      </c>
      <c r="K1252" t="n">
        <v>0.5047338440475601</v>
      </c>
      <c r="L1252" t="b">
        <v>0</v>
      </c>
      <c r="M1252" t="b">
        <v>0</v>
      </c>
      <c r="N1252" t="inlineStr">
        <is>
          <t>ref</t>
        </is>
      </c>
      <c r="O1252" t="n">
        <v>-70</v>
      </c>
      <c r="P1252" t="n">
        <v>0.00772</v>
      </c>
      <c r="Q1252" t="n">
        <v>70</v>
      </c>
      <c r="R1252" t="n">
        <v>0.1133</v>
      </c>
      <c r="S1252">
        <f>IMAGE("https://mitra.stanford.edu/kundaje/oak/projects/neuro-variants/variant_position/credible/roussos_2024/variant_figures/roussos_2024.childhood.GLU/rs2403102_count_position.png",4,220,900)</f>
        <v/>
      </c>
      <c r="T1252">
        <f>IMAGE("https://mitra.stanford.edu/kundaje/oak/projects/neuro-variants/variant_position/credible/roussos_2024/variant_figures/roussos_2024.childhood.GLU/rs2403102_profile_position.png",4,220,900)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0.0080189046</v>
      </c>
      <c r="G1253" t="n">
        <v>0.1547609686056209</v>
      </c>
      <c r="H1253" t="n">
        <v>0.0173113384548017</v>
      </c>
      <c r="I1253" t="n">
        <v>0.1802407204311616</v>
      </c>
      <c r="J1253" t="n">
        <v>0.1574850361090792</v>
      </c>
      <c r="K1253" t="n">
        <v>0.1814887397175277</v>
      </c>
      <c r="L1253" t="b">
        <v>0</v>
      </c>
      <c r="M1253" t="b">
        <v>0</v>
      </c>
      <c r="N1253" t="inlineStr">
        <is>
          <t>alt</t>
        </is>
      </c>
      <c r="O1253" t="n">
        <v>100</v>
      </c>
      <c r="P1253" t="n">
        <v>0.02618</v>
      </c>
      <c r="Q1253" t="n">
        <v>100</v>
      </c>
      <c r="R1253" t="n">
        <v>0.3118</v>
      </c>
      <c r="S1253">
        <f>IMAGE("https://mitra.stanford.edu/kundaje/oak/projects/neuro-variants/variant_position/credible/roussos_2024/variant_figures/roussos_2024.childhood.GLU/rs1131877_count_position.png",4,220,900)</f>
        <v/>
      </c>
      <c r="T1253">
        <f>IMAGE("https://mitra.stanford.edu/kundaje/oak/projects/neuro-variants/variant_position/credible/roussos_2024/variant_figures/roussos_2024.childhood.GLU/rs1131877_profile_position.png",4,220,900)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-0.109665062</v>
      </c>
      <c r="G1254" t="n">
        <v>0.038641562416976</v>
      </c>
      <c r="H1254" t="n">
        <v>0.0190323931388892</v>
      </c>
      <c r="I1254" t="n">
        <v>0.1182629632966549</v>
      </c>
      <c r="J1254" t="n">
        <v>0.0717442591199892</v>
      </c>
      <c r="K1254" t="n">
        <v>0.2969801522927022</v>
      </c>
      <c r="L1254" t="b">
        <v>0</v>
      </c>
      <c r="M1254" t="b">
        <v>0</v>
      </c>
      <c r="N1254" t="inlineStr">
        <is>
          <t>ref</t>
        </is>
      </c>
      <c r="O1254" t="n">
        <v>-85</v>
      </c>
      <c r="P1254" t="n">
        <v>0.01361</v>
      </c>
      <c r="Q1254" t="n">
        <v>-70</v>
      </c>
      <c r="R1254" t="n">
        <v>0.083</v>
      </c>
      <c r="S1254">
        <f>IMAGE("https://mitra.stanford.edu/kundaje/oak/projects/neuro-variants/variant_position/credible/roussos_2024/variant_figures/roussos_2024.childhood.GLU/rs8007609_count_position.png",4,220,900)</f>
        <v/>
      </c>
      <c r="T1254">
        <f>IMAGE("https://mitra.stanford.edu/kundaje/oak/projects/neuro-variants/variant_position/credible/roussos_2024/variant_figures/roussos_2024.childhood.GLU/rs8007609_profile_position.png",4,220,900)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0.0254826494</v>
      </c>
      <c r="G1255" t="n">
        <v>0.3727646723644</v>
      </c>
      <c r="H1255" t="n">
        <v>0.0076695654250577</v>
      </c>
      <c r="I1255" t="n">
        <v>0.9047699520037572</v>
      </c>
      <c r="J1255" t="n">
        <v>0.0131589520640381</v>
      </c>
      <c r="K1255" t="n">
        <v>0.5539295560291685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0.0741</v>
      </c>
      <c r="Q1255" t="n">
        <v>10</v>
      </c>
      <c r="R1255" t="n">
        <v>0.01776</v>
      </c>
      <c r="S1255">
        <f>IMAGE("https://mitra.stanford.edu/kundaje/oak/projects/neuro-variants/variant_position/credible/roussos_2024/variant_figures/roussos_2024.childhood.GLU/rs58026845_count_position.png",4,220,900)</f>
        <v/>
      </c>
      <c r="T1255">
        <f>IMAGE("https://mitra.stanford.edu/kundaje/oak/projects/neuro-variants/variant_position/credible/roussos_2024/variant_figures/roussos_2024.childhood.GLU/rs58026845_profile_position.png",4,220,900)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-0.0443277926</v>
      </c>
      <c r="G1256" t="n">
        <v>0.2162333647633457</v>
      </c>
      <c r="H1256" t="n">
        <v>0.0145333572321274</v>
      </c>
      <c r="I1256" t="n">
        <v>0.274268126124914</v>
      </c>
      <c r="J1256" t="n">
        <v>0.0507288779914903</v>
      </c>
      <c r="K1256" t="n">
        <v>0.3507064695890883</v>
      </c>
      <c r="L1256" t="b">
        <v>0</v>
      </c>
      <c r="M1256" t="b">
        <v>0</v>
      </c>
      <c r="N1256" t="inlineStr">
        <is>
          <t>ref</t>
        </is>
      </c>
      <c r="O1256" t="n">
        <v>-45</v>
      </c>
      <c r="P1256" t="n">
        <v>0.002762</v>
      </c>
      <c r="Q1256" t="n">
        <v>85</v>
      </c>
      <c r="R1256" t="n">
        <v>0.05103</v>
      </c>
      <c r="S1256">
        <f>IMAGE("https://mitra.stanford.edu/kundaje/oak/projects/neuro-variants/variant_position/credible/roussos_2024/variant_figures/roussos_2024.childhood.GLU/rs8008665_count_position.png",4,220,900)</f>
        <v/>
      </c>
      <c r="T1256">
        <f>IMAGE("https://mitra.stanford.edu/kundaje/oak/projects/neuro-variants/variant_position/credible/roussos_2024/variant_figures/roussos_2024.childhood.GLU/rs8008665_profile_position.png",4,220,900)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0.0401365956</v>
      </c>
      <c r="G1257" t="n">
        <v>0.2396903017751242</v>
      </c>
      <c r="H1257" t="n">
        <v>0.0098152358699224</v>
      </c>
      <c r="I1257" t="n">
        <v>0.6641454371957719</v>
      </c>
      <c r="J1257" t="n">
        <v>0.08658143344287959</v>
      </c>
      <c r="K1257" t="n">
        <v>0.2714433588600053</v>
      </c>
      <c r="L1257" t="b">
        <v>0</v>
      </c>
      <c r="M1257" t="b">
        <v>0</v>
      </c>
      <c r="N1257" t="inlineStr">
        <is>
          <t>alt</t>
        </is>
      </c>
      <c r="O1257" t="n">
        <v>65</v>
      </c>
      <c r="P1257" t="n">
        <v>0.003326</v>
      </c>
      <c r="Q1257" t="n">
        <v>45</v>
      </c>
      <c r="R1257" t="n">
        <v>0.1111</v>
      </c>
      <c r="S1257">
        <f>IMAGE("https://mitra.stanford.edu/kundaje/oak/projects/neuro-variants/variant_position/credible/roussos_2024/variant_figures/roussos_2024.childhood.GLU/rs17101455_count_position.png",4,220,900)</f>
        <v/>
      </c>
      <c r="T1257">
        <f>IMAGE("https://mitra.stanford.edu/kundaje/oak/projects/neuro-variants/variant_position/credible/roussos_2024/variant_figures/roussos_2024.childhood.GLU/rs17101455_profile_position.png",4,220,900)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-0.0299375956</v>
      </c>
      <c r="G1258" t="n">
        <v>0.3401017873308269</v>
      </c>
      <c r="H1258" t="n">
        <v>0.007733407614277</v>
      </c>
      <c r="I1258" t="n">
        <v>0.8857617804063294</v>
      </c>
      <c r="J1258" t="n">
        <v>0.3950570224690162</v>
      </c>
      <c r="K1258" t="n">
        <v>0.06575135758858471</v>
      </c>
      <c r="L1258" t="b">
        <v>0</v>
      </c>
      <c r="M1258" t="b">
        <v>0</v>
      </c>
      <c r="N1258" t="inlineStr">
        <is>
          <t>ref</t>
        </is>
      </c>
      <c r="O1258" t="n">
        <v>-95</v>
      </c>
      <c r="P1258" t="n">
        <v>0.003494</v>
      </c>
      <c r="Q1258" t="n">
        <v>-100</v>
      </c>
      <c r="R1258" t="n">
        <v>0.12054</v>
      </c>
      <c r="S1258">
        <f>IMAGE("https://mitra.stanford.edu/kundaje/oak/projects/neuro-variants/variant_position/credible/roussos_2024/variant_figures/roussos_2024.childhood.GLU/rs7145682_count_position.png",4,220,900)</f>
        <v/>
      </c>
      <c r="T1258">
        <f>IMAGE("https://mitra.stanford.edu/kundaje/oak/projects/neuro-variants/variant_position/credible/roussos_2024/variant_figures/roussos_2024.childhood.GLU/rs7145682_profile_position.png",4,220,900)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-0.0001647113599999</v>
      </c>
      <c r="G1259" t="n">
        <v>0.8769449419576625</v>
      </c>
      <c r="H1259" t="n">
        <v>0.0076529706423071</v>
      </c>
      <c r="I1259" t="n">
        <v>0.902531144554605</v>
      </c>
      <c r="J1259" t="n">
        <v>0.4279384342773548</v>
      </c>
      <c r="K1259" t="n">
        <v>0.0573292726829819</v>
      </c>
      <c r="L1259" t="b">
        <v>0</v>
      </c>
      <c r="M1259" t="b">
        <v>0</v>
      </c>
      <c r="N1259" t="inlineStr">
        <is>
          <t>ref</t>
        </is>
      </c>
      <c r="O1259" t="n">
        <v>-65</v>
      </c>
      <c r="P1259" t="n">
        <v>0.002718</v>
      </c>
      <c r="Q1259" t="n">
        <v>40</v>
      </c>
      <c r="R1259" t="n">
        <v>0.04044</v>
      </c>
      <c r="S1259">
        <f>IMAGE("https://mitra.stanford.edu/kundaje/oak/projects/neuro-variants/variant_position/credible/roussos_2024/variant_figures/roussos_2024.childhood.GLU/rs7150297_count_position.png",4,220,900)</f>
        <v/>
      </c>
      <c r="T1259">
        <f>IMAGE("https://mitra.stanford.edu/kundaje/oak/projects/neuro-variants/variant_position/credible/roussos_2024/variant_figures/roussos_2024.childhood.GLU/rs7150297_profile_position.png",4,220,900)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-0.014065109</v>
      </c>
      <c r="G1260" t="n">
        <v>0.5686346347319206</v>
      </c>
      <c r="H1260" t="n">
        <v>0.0104313403601193</v>
      </c>
      <c r="I1260" t="n">
        <v>0.60696881312182</v>
      </c>
      <c r="J1260" t="n">
        <v>0.4294559428023942</v>
      </c>
      <c r="K1260" t="n">
        <v>0.0569592637587401</v>
      </c>
      <c r="L1260" t="b">
        <v>0</v>
      </c>
      <c r="M1260" t="b">
        <v>0</v>
      </c>
      <c r="N1260" t="inlineStr">
        <is>
          <t>ref</t>
        </is>
      </c>
      <c r="O1260" t="n">
        <v>65</v>
      </c>
      <c r="P1260" t="n">
        <v>0.003597</v>
      </c>
      <c r="Q1260" t="n">
        <v>-40</v>
      </c>
      <c r="R1260" t="n">
        <v>0.094</v>
      </c>
      <c r="S1260">
        <f>IMAGE("https://mitra.stanford.edu/kundaje/oak/projects/neuro-variants/variant_position/credible/roussos_2024/variant_figures/roussos_2024.childhood.GLU/rs72708820_count_position.png",4,220,900)</f>
        <v/>
      </c>
      <c r="T1260">
        <f>IMAGE("https://mitra.stanford.edu/kundaje/oak/projects/neuro-variants/variant_position/credible/roussos_2024/variant_figures/roussos_2024.childhood.GLU/rs72708820_profile_position.png",4,220,900)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-0.0414166272</v>
      </c>
      <c r="G1261" t="n">
        <v>0.240773865308595</v>
      </c>
      <c r="H1261" t="n">
        <v>0.0083127634291399</v>
      </c>
      <c r="I1261" t="n">
        <v>0.8351038578525106</v>
      </c>
      <c r="J1261" t="n">
        <v>0.0243574026188096</v>
      </c>
      <c r="K1261" t="n">
        <v>0.4610470232040171</v>
      </c>
      <c r="L1261" t="b">
        <v>0</v>
      </c>
      <c r="M1261" t="b">
        <v>0</v>
      </c>
      <c r="N1261" t="inlineStr">
        <is>
          <t>ref</t>
        </is>
      </c>
      <c r="O1261" t="n">
        <v>-95</v>
      </c>
      <c r="P1261" t="n">
        <v>0.01008</v>
      </c>
      <c r="Q1261" t="n">
        <v>-85</v>
      </c>
      <c r="R1261" t="n">
        <v>0.0736</v>
      </c>
      <c r="S1261">
        <f>IMAGE("https://mitra.stanford.edu/kundaje/oak/projects/neuro-variants/variant_position/credible/roussos_2024/variant_figures/roussos_2024.childhood.GLU/rs11850831_count_position.png",4,220,900)</f>
        <v/>
      </c>
      <c r="T1261">
        <f>IMAGE("https://mitra.stanford.edu/kundaje/oak/projects/neuro-variants/variant_position/credible/roussos_2024/variant_figures/roussos_2024.childhood.GLU/rs11850831_profile_position.png",4,220,900)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-0.043748187</v>
      </c>
      <c r="G1262" t="n">
        <v>0.2167617915414601</v>
      </c>
      <c r="H1262" t="n">
        <v>0.0154904794885877</v>
      </c>
      <c r="I1262" t="n">
        <v>0.2376870278297878</v>
      </c>
      <c r="J1262" t="n">
        <v>0.1584163515921991</v>
      </c>
      <c r="K1262" t="n">
        <v>0.1796630441435453</v>
      </c>
      <c r="L1262" t="b">
        <v>0</v>
      </c>
      <c r="M1262" t="b">
        <v>0</v>
      </c>
      <c r="N1262" t="inlineStr">
        <is>
          <t>ref</t>
        </is>
      </c>
      <c r="O1262" t="n">
        <v>-45</v>
      </c>
      <c r="P1262" t="n">
        <v>0.01034</v>
      </c>
      <c r="Q1262" t="n">
        <v>75</v>
      </c>
      <c r="R1262" t="n">
        <v>0.0842</v>
      </c>
      <c r="S1262">
        <f>IMAGE("https://mitra.stanford.edu/kundaje/oak/projects/neuro-variants/variant_position/credible/roussos_2024/variant_figures/roussos_2024.childhood.GLU/rs8007383_count_position.png",4,220,900)</f>
        <v/>
      </c>
      <c r="T1262">
        <f>IMAGE("https://mitra.stanford.edu/kundaje/oak/projects/neuro-variants/variant_position/credible/roussos_2024/variant_figures/roussos_2024.childhood.GLU/rs8007383_profile_position.png",4,220,900)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0.01445180072</v>
      </c>
      <c r="G1263" t="n">
        <v>0.5548172502487225</v>
      </c>
      <c r="H1263" t="n">
        <v>0.0124710111595513</v>
      </c>
      <c r="I1263" t="n">
        <v>0.416578251869303</v>
      </c>
      <c r="J1263" t="n">
        <v>0.06340156798912081</v>
      </c>
      <c r="K1263" t="n">
        <v>0.3128839893575079</v>
      </c>
      <c r="L1263" t="b">
        <v>0</v>
      </c>
      <c r="M1263" t="b">
        <v>0</v>
      </c>
      <c r="N1263" t="inlineStr">
        <is>
          <t>alt</t>
        </is>
      </c>
      <c r="O1263" t="n">
        <v>50</v>
      </c>
      <c r="P1263" t="n">
        <v>0.005478</v>
      </c>
      <c r="Q1263" t="n">
        <v>-10</v>
      </c>
      <c r="R1263" t="n">
        <v>0.0407</v>
      </c>
      <c r="S1263">
        <f>IMAGE("https://mitra.stanford.edu/kundaje/oak/projects/neuro-variants/variant_position/credible/roussos_2024/variant_figures/roussos_2024.childhood.GLU/rs12432904_count_position.png",4,220,900)</f>
        <v/>
      </c>
      <c r="T1263">
        <f>IMAGE("https://mitra.stanford.edu/kundaje/oak/projects/neuro-variants/variant_position/credible/roussos_2024/variant_figures/roussos_2024.childhood.GLU/rs12432904_profile_position.png",4,220,900)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-0.1031975206</v>
      </c>
      <c r="G1264" t="n">
        <v>0.0469794200607623</v>
      </c>
      <c r="H1264" t="n">
        <v>0.0156991031407425</v>
      </c>
      <c r="I1264" t="n">
        <v>0.2124496948738003</v>
      </c>
      <c r="J1264" t="n">
        <v>0.2809935405441602</v>
      </c>
      <c r="K1264" t="n">
        <v>0.105896724927234</v>
      </c>
      <c r="L1264" t="b">
        <v>0</v>
      </c>
      <c r="M1264" t="b">
        <v>0</v>
      </c>
      <c r="N1264" t="inlineStr">
        <is>
          <t>ref</t>
        </is>
      </c>
      <c r="O1264" t="n">
        <v>-90</v>
      </c>
      <c r="P1264" t="n">
        <v>0.00291</v>
      </c>
      <c r="Q1264" t="n">
        <v>85</v>
      </c>
      <c r="R1264" t="n">
        <v>0.1466</v>
      </c>
      <c r="S1264">
        <f>IMAGE("https://mitra.stanford.edu/kundaje/oak/projects/neuro-variants/variant_position/credible/roussos_2024/variant_figures/roussos_2024.childhood.GLU/rs12894729_count_position.png",4,220,900)</f>
        <v/>
      </c>
      <c r="T1264">
        <f>IMAGE("https://mitra.stanford.edu/kundaje/oak/projects/neuro-variants/variant_position/credible/roussos_2024/variant_figures/roussos_2024.childhood.GLU/rs12894729_profile_position.png",4,220,900)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-0.01046068938</v>
      </c>
      <c r="G1265" t="n">
        <v>0.6695689471178891</v>
      </c>
      <c r="H1265" t="n">
        <v>0.0303995752444653</v>
      </c>
      <c r="I1265" t="n">
        <v>0.0199258371259472</v>
      </c>
      <c r="J1265" t="n">
        <v>0.062367230881762</v>
      </c>
      <c r="K1265" t="n">
        <v>0.3265519818446985</v>
      </c>
      <c r="L1265" t="b">
        <v>1</v>
      </c>
      <c r="M1265" t="b">
        <v>0</v>
      </c>
      <c r="N1265" t="inlineStr">
        <is>
          <t>ref</t>
        </is>
      </c>
      <c r="O1265" t="n">
        <v>-60</v>
      </c>
      <c r="P1265" t="n">
        <v>0.001118</v>
      </c>
      <c r="Q1265" t="n">
        <v>-100</v>
      </c>
      <c r="R1265" t="n">
        <v>0.1001</v>
      </c>
      <c r="S1265">
        <f>IMAGE("https://mitra.stanford.edu/kundaje/oak/projects/neuro-variants/variant_position/credible/roussos_2024/variant_figures/roussos_2024.childhood.GLU/rs10431750_count_position.png",4,220,900)</f>
        <v/>
      </c>
      <c r="T1265">
        <f>IMAGE("https://mitra.stanford.edu/kundaje/oak/projects/neuro-variants/variant_position/credible/roussos_2024/variant_figures/roussos_2024.childhood.GLU/rs10431750_profile_position.png",4,220,900)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-0.00206948866</v>
      </c>
      <c r="G1266" t="n">
        <v>0.7677158912230591</v>
      </c>
      <c r="H1266" t="n">
        <v>0.0255193117904991</v>
      </c>
      <c r="I1266" t="n">
        <v>0.040694988776884</v>
      </c>
      <c r="J1266" t="n">
        <v>0.0440273213347481</v>
      </c>
      <c r="K1266" t="n">
        <v>0.3729526781297912</v>
      </c>
      <c r="L1266" t="b">
        <v>0</v>
      </c>
      <c r="M1266" t="b">
        <v>0</v>
      </c>
      <c r="N1266" t="inlineStr">
        <is>
          <t>ref</t>
        </is>
      </c>
      <c r="O1266" t="n">
        <v>0</v>
      </c>
      <c r="P1266" t="n">
        <v>0</v>
      </c>
      <c r="Q1266" t="n">
        <v>-90</v>
      </c>
      <c r="R1266" t="n">
        <v>0.07104000000000001</v>
      </c>
      <c r="S1266">
        <f>IMAGE("https://mitra.stanford.edu/kundaje/oak/projects/neuro-variants/variant_position/credible/roussos_2024/variant_figures/roussos_2024.childhood.GLU/rs71417868_count_position.png",4,220,900)</f>
        <v/>
      </c>
      <c r="T1266">
        <f>IMAGE("https://mitra.stanford.edu/kundaje/oak/projects/neuro-variants/variant_position/credible/roussos_2024/variant_figures/roussos_2024.childhood.GLU/rs71417868_profile_position.png",4,220,900)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-0.0127286335</v>
      </c>
      <c r="G1267" t="n">
        <v>0.5957955451408989</v>
      </c>
      <c r="H1267" t="n">
        <v>0.0076521760201953</v>
      </c>
      <c r="I1267" t="n">
        <v>0.9002207483407674</v>
      </c>
      <c r="J1267" t="n">
        <v>0.1277478442725128</v>
      </c>
      <c r="K1267" t="n">
        <v>0.2128905124563095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0.02206</v>
      </c>
      <c r="Q1267" t="n">
        <v>100</v>
      </c>
      <c r="R1267" t="n">
        <v>0.09705</v>
      </c>
      <c r="S1267">
        <f>IMAGE("https://mitra.stanford.edu/kundaje/oak/projects/neuro-variants/variant_position/credible/roussos_2024/variant_figures/roussos_2024.childhood.GLU/rs67899457_count_position.png",4,220,900)</f>
        <v/>
      </c>
      <c r="T1267">
        <f>IMAGE("https://mitra.stanford.edu/kundaje/oak/projects/neuro-variants/variant_position/credible/roussos_2024/variant_figures/roussos_2024.childhood.GLU/rs67899457_profile_position.png",4,220,900)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-0.07020977</v>
      </c>
      <c r="G1268" t="n">
        <v>0.0962641076907423</v>
      </c>
      <c r="H1268" t="n">
        <v>0.0154225960106158</v>
      </c>
      <c r="I1268" t="n">
        <v>0.2381710003097923</v>
      </c>
      <c r="J1268" t="n">
        <v>0.650532106689194</v>
      </c>
      <c r="K1268" t="n">
        <v>0.0203278404425562</v>
      </c>
      <c r="L1268" t="b">
        <v>0</v>
      </c>
      <c r="M1268" t="b">
        <v>0</v>
      </c>
      <c r="N1268" t="inlineStr">
        <is>
          <t>ref</t>
        </is>
      </c>
      <c r="O1268" t="n">
        <v>-50</v>
      </c>
      <c r="P1268" t="n">
        <v>0.002857</v>
      </c>
      <c r="Q1268" t="n">
        <v>-30</v>
      </c>
      <c r="R1268" t="n">
        <v>0.1355</v>
      </c>
      <c r="S1268">
        <f>IMAGE("https://mitra.stanford.edu/kundaje/oak/projects/neuro-variants/variant_position/credible/roussos_2024/variant_figures/roussos_2024.childhood.GLU/rs56168984_count_position.png",4,220,900)</f>
        <v/>
      </c>
      <c r="T1268">
        <f>IMAGE("https://mitra.stanford.edu/kundaje/oak/projects/neuro-variants/variant_position/credible/roussos_2024/variant_figures/roussos_2024.childhood.GLU/rs56168984_profile_position.png",4,220,900)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0.1715187279999999</v>
      </c>
      <c r="G1269" t="n">
        <v>0.0125809433608188</v>
      </c>
      <c r="H1269" t="n">
        <v>0.0238592651944709</v>
      </c>
      <c r="I1269" t="n">
        <v>0.0550286641046317</v>
      </c>
      <c r="J1269" t="n">
        <v>0.0335304480410437</v>
      </c>
      <c r="K1269" t="n">
        <v>0.4171298715977924</v>
      </c>
      <c r="L1269" t="b">
        <v>1</v>
      </c>
      <c r="M1269" t="b">
        <v>0</v>
      </c>
      <c r="N1269" t="inlineStr">
        <is>
          <t>alt</t>
        </is>
      </c>
      <c r="O1269" t="n">
        <v>-5</v>
      </c>
      <c r="P1269" t="n">
        <v>0.001556</v>
      </c>
      <c r="Q1269" t="n">
        <v>95</v>
      </c>
      <c r="R1269" t="n">
        <v>0.02948</v>
      </c>
      <c r="S1269">
        <f>IMAGE("https://mitra.stanford.edu/kundaje/oak/projects/neuro-variants/variant_position/credible/roussos_2024/variant_figures/roussos_2024.childhood.GLU/rs12878682_count_position.png",4,220,900)</f>
        <v/>
      </c>
      <c r="T1269">
        <f>IMAGE("https://mitra.stanford.edu/kundaje/oak/projects/neuro-variants/variant_position/credible/roussos_2024/variant_figures/roussos_2024.childhood.GLU/rs12878682_profile_position.png",4,220,900)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0.0640274342</v>
      </c>
      <c r="G1270" t="n">
        <v>0.1468321791031375</v>
      </c>
      <c r="H1270" t="n">
        <v>0.0154562803795665</v>
      </c>
      <c r="I1270" t="n">
        <v>0.2324674542890036</v>
      </c>
      <c r="J1270" t="n">
        <v>0.009333759156046799</v>
      </c>
      <c r="K1270" t="n">
        <v>0.6061180596339684</v>
      </c>
      <c r="L1270" t="b">
        <v>0</v>
      </c>
      <c r="M1270" t="b">
        <v>0</v>
      </c>
      <c r="N1270" t="inlineStr">
        <is>
          <t>alt</t>
        </is>
      </c>
      <c r="O1270" t="n">
        <v>50</v>
      </c>
      <c r="P1270" t="n">
        <v>0.00058</v>
      </c>
      <c r="Q1270" t="n">
        <v>-100</v>
      </c>
      <c r="R1270" t="n">
        <v>0.0625</v>
      </c>
      <c r="S1270">
        <f>IMAGE("https://mitra.stanford.edu/kundaje/oak/projects/neuro-variants/variant_position/credible/roussos_2024/variant_figures/roussos_2024.childhood.GLU/rs12888002_count_position.png",4,220,900)</f>
        <v/>
      </c>
      <c r="T1270">
        <f>IMAGE("https://mitra.stanford.edu/kundaje/oak/projects/neuro-variants/variant_position/credible/roussos_2024/variant_figures/roussos_2024.childhood.GLU/rs12888002_profile_position.png",4,220,900)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0.00847472744</v>
      </c>
      <c r="G1271" t="n">
        <v>0.6206285785505949</v>
      </c>
      <c r="H1271" t="n">
        <v>0.0111648455524419</v>
      </c>
      <c r="I1271" t="n">
        <v>0.5370824764673522</v>
      </c>
      <c r="J1271" t="n">
        <v>0.07257152276262779</v>
      </c>
      <c r="K1271" t="n">
        <v>0.2998495503978434</v>
      </c>
      <c r="L1271" t="b">
        <v>0</v>
      </c>
      <c r="M1271" t="b">
        <v>0</v>
      </c>
      <c r="N1271" t="inlineStr">
        <is>
          <t>alt</t>
        </is>
      </c>
      <c r="O1271" t="n">
        <v>5</v>
      </c>
      <c r="P1271" t="n">
        <v>0.0003815</v>
      </c>
      <c r="Q1271" t="n">
        <v>100</v>
      </c>
      <c r="R1271" t="n">
        <v>0.05893</v>
      </c>
      <c r="S1271">
        <f>IMAGE("https://mitra.stanford.edu/kundaje/oak/projects/neuro-variants/variant_position/credible/roussos_2024/variant_figures/roussos_2024.childhood.GLU/rs66509671_count_position.png",4,220,900)</f>
        <v/>
      </c>
      <c r="T1271">
        <f>IMAGE("https://mitra.stanford.edu/kundaje/oak/projects/neuro-variants/variant_position/credible/roussos_2024/variant_figures/roussos_2024.childhood.GLU/rs66509671_profile_position.png",4,220,900)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-0.033836494</v>
      </c>
      <c r="G1272" t="n">
        <v>0.2484468332518578</v>
      </c>
      <c r="H1272" t="n">
        <v>0.0191388645509637</v>
      </c>
      <c r="I1272" t="n">
        <v>0.1147646706924558</v>
      </c>
      <c r="J1272" t="n">
        <v>0.0902572449957245</v>
      </c>
      <c r="K1272" t="n">
        <v>0.2625251588959805</v>
      </c>
      <c r="L1272" t="b">
        <v>0</v>
      </c>
      <c r="M1272" t="b">
        <v>0</v>
      </c>
      <c r="N1272" t="inlineStr">
        <is>
          <t>ref</t>
        </is>
      </c>
      <c r="O1272" t="n">
        <v>40</v>
      </c>
      <c r="P1272" t="n">
        <v>0.002197</v>
      </c>
      <c r="Q1272" t="n">
        <v>-85</v>
      </c>
      <c r="R1272" t="n">
        <v>0.0462</v>
      </c>
      <c r="S1272">
        <f>IMAGE("https://mitra.stanford.edu/kundaje/oak/projects/neuro-variants/variant_position/credible/roussos_2024/variant_figures/roussos_2024.childhood.GLU/rs11160762_count_position.png",4,220,900)</f>
        <v/>
      </c>
      <c r="T1272">
        <f>IMAGE("https://mitra.stanford.edu/kundaje/oak/projects/neuro-variants/variant_position/credible/roussos_2024/variant_figures/roussos_2024.childhood.GLU/rs11160762_profile_position.png",4,220,900)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0.149230044</v>
      </c>
      <c r="G1273" t="n">
        <v>0.0168462950431828</v>
      </c>
      <c r="H1273" t="n">
        <v>0.0258052187872592</v>
      </c>
      <c r="I1273" t="n">
        <v>0.0385091764990747</v>
      </c>
      <c r="J1273" t="n">
        <v>0.0510369126479647</v>
      </c>
      <c r="K1273" t="n">
        <v>0.3485614578423207</v>
      </c>
      <c r="L1273" t="b">
        <v>1</v>
      </c>
      <c r="M1273" t="b">
        <v>0</v>
      </c>
      <c r="N1273" t="inlineStr">
        <is>
          <t>alt</t>
        </is>
      </c>
      <c r="O1273" t="n">
        <v>-35</v>
      </c>
      <c r="P1273" t="n">
        <v>0.00544</v>
      </c>
      <c r="Q1273" t="n">
        <v>-90</v>
      </c>
      <c r="R1273" t="n">
        <v>0.0969</v>
      </c>
      <c r="S1273">
        <f>IMAGE("https://mitra.stanford.edu/kundaje/oak/projects/neuro-variants/variant_position/credible/roussos_2024/variant_figures/roussos_2024.childhood.GLU/rs12883337_count_position.png",4,220,900)</f>
        <v/>
      </c>
      <c r="T1273">
        <f>IMAGE("https://mitra.stanford.edu/kundaje/oak/projects/neuro-variants/variant_position/credible/roussos_2024/variant_figures/roussos_2024.childhood.GLU/rs12883337_profile_position.png",4,220,900)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-0.1382346554</v>
      </c>
      <c r="G1274" t="n">
        <v>0.0264328799892609</v>
      </c>
      <c r="H1274" t="n">
        <v>0.0209083696698255</v>
      </c>
      <c r="I1274" t="n">
        <v>0.0973109043670574</v>
      </c>
      <c r="J1274" t="n">
        <v>0.0246170171118917</v>
      </c>
      <c r="K1274" t="n">
        <v>0.4557193234421932</v>
      </c>
      <c r="L1274" t="b">
        <v>0</v>
      </c>
      <c r="M1274" t="b">
        <v>0</v>
      </c>
      <c r="N1274" t="inlineStr">
        <is>
          <t>ref</t>
        </is>
      </c>
      <c r="O1274" t="n">
        <v>-85</v>
      </c>
      <c r="P1274" t="n">
        <v>0.014824</v>
      </c>
      <c r="Q1274" t="n">
        <v>-55</v>
      </c>
      <c r="R1274" t="n">
        <v>0.03235</v>
      </c>
      <c r="S1274">
        <f>IMAGE("https://mitra.stanford.edu/kundaje/oak/projects/neuro-variants/variant_position/credible/roussos_2024/variant_figures/roussos_2024.childhood.GLU/rs66676135_count_position.png",4,220,900)</f>
        <v/>
      </c>
      <c r="T1274">
        <f>IMAGE("https://mitra.stanford.edu/kundaje/oak/projects/neuro-variants/variant_position/credible/roussos_2024/variant_figures/roussos_2024.childhood.GLU/rs66676135_profile_position.png",4,220,900)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0.09914454859999999</v>
      </c>
      <c r="G1275" t="n">
        <v>0.047452265212725</v>
      </c>
      <c r="H1275" t="n">
        <v>0.0147067426531666</v>
      </c>
      <c r="I1275" t="n">
        <v>0.2640032827250406</v>
      </c>
      <c r="J1275" t="n">
        <v>0.6353652631687391</v>
      </c>
      <c r="K1275" t="n">
        <v>0.0221377622785818</v>
      </c>
      <c r="L1275" t="b">
        <v>0</v>
      </c>
      <c r="M1275" t="b">
        <v>0</v>
      </c>
      <c r="N1275" t="inlineStr">
        <is>
          <t>alt</t>
        </is>
      </c>
      <c r="O1275" t="n">
        <v>65</v>
      </c>
      <c r="P1275" t="n">
        <v>0.00209</v>
      </c>
      <c r="Q1275" t="n">
        <v>-90</v>
      </c>
      <c r="R1275" t="n">
        <v>0.11694</v>
      </c>
      <c r="S1275">
        <f>IMAGE("https://mitra.stanford.edu/kundaje/oak/projects/neuro-variants/variant_position/credible/roussos_2024/variant_figures/roussos_2024.childhood.GLU/rs3861678_count_position.png",4,220,900)</f>
        <v/>
      </c>
      <c r="T1275">
        <f>IMAGE("https://mitra.stanford.edu/kundaje/oak/projects/neuro-variants/variant_position/credible/roussos_2024/variant_figures/roussos_2024.childhood.GLU/rs3861678_profile_position.png",4,220,900)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-0.06407291499999999</v>
      </c>
      <c r="G1276" t="n">
        <v>0.1238597144612512</v>
      </c>
      <c r="H1276" t="n">
        <v>0.0133453878210431</v>
      </c>
      <c r="I1276" t="n">
        <v>0.330688043811555</v>
      </c>
      <c r="J1276" t="n">
        <v>0.2717030504702936</v>
      </c>
      <c r="K1276" t="n">
        <v>0.1092135246813118</v>
      </c>
      <c r="L1276" t="b">
        <v>0</v>
      </c>
      <c r="M1276" t="b">
        <v>0</v>
      </c>
      <c r="N1276" t="inlineStr">
        <is>
          <t>ref</t>
        </is>
      </c>
      <c r="O1276" t="n">
        <v>-75</v>
      </c>
      <c r="P1276" t="n">
        <v>0.002289</v>
      </c>
      <c r="Q1276" t="n">
        <v>-40</v>
      </c>
      <c r="R1276" t="n">
        <v>0.02112</v>
      </c>
      <c r="S1276">
        <f>IMAGE("https://mitra.stanford.edu/kundaje/oak/projects/neuro-variants/variant_position/credible/roussos_2024/variant_figures/roussos_2024.childhood.GLU/rs6576007_count_position.png",4,220,900)</f>
        <v/>
      </c>
      <c r="T1276">
        <f>IMAGE("https://mitra.stanford.edu/kundaje/oak/projects/neuro-variants/variant_position/credible/roussos_2024/variant_figures/roussos_2024.childhood.GLU/rs6576007_profile_position.png",4,220,900)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0.0489022566</v>
      </c>
      <c r="G1277" t="n">
        <v>0.1817557728566272</v>
      </c>
      <c r="H1277" t="n">
        <v>0.0089467661101621</v>
      </c>
      <c r="I1277" t="n">
        <v>0.7677502972214653</v>
      </c>
      <c r="J1277" t="n">
        <v>0.3606684042980621</v>
      </c>
      <c r="K1277" t="n">
        <v>0.07553264313120971</v>
      </c>
      <c r="L1277" t="b">
        <v>0</v>
      </c>
      <c r="M1277" t="b">
        <v>0</v>
      </c>
      <c r="N1277" t="inlineStr">
        <is>
          <t>alt</t>
        </is>
      </c>
      <c r="O1277" t="n">
        <v>5</v>
      </c>
      <c r="P1277" t="n">
        <v>0.0001755</v>
      </c>
      <c r="Q1277" t="n">
        <v>0</v>
      </c>
      <c r="R1277" t="n">
        <v>0</v>
      </c>
      <c r="S1277">
        <f>IMAGE("https://mitra.stanford.edu/kundaje/oak/projects/neuro-variants/variant_position/credible/roussos_2024/variant_figures/roussos_2024.childhood.GLU/rs4984237_count_position.png",4,220,900)</f>
        <v/>
      </c>
      <c r="T1277">
        <f>IMAGE("https://mitra.stanford.edu/kundaje/oak/projects/neuro-variants/variant_position/credible/roussos_2024/variant_figures/roussos_2024.childhood.GLU/rs4984237_profile_position.png",4,220,900)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0.1271471812</v>
      </c>
      <c r="G1278" t="n">
        <v>0.0251090050179889</v>
      </c>
      <c r="H1278" t="n">
        <v>0.0328254564747192</v>
      </c>
      <c r="I1278" t="n">
        <v>0.0146246112596531</v>
      </c>
      <c r="J1278" t="n">
        <v>0.9520362224030824</v>
      </c>
      <c r="K1278" t="n">
        <v>0.0003567383877954</v>
      </c>
      <c r="L1278" t="b">
        <v>1</v>
      </c>
      <c r="M1278" t="b">
        <v>0</v>
      </c>
      <c r="N1278" t="inlineStr">
        <is>
          <t>alt</t>
        </is>
      </c>
      <c r="O1278" t="n">
        <v>-15</v>
      </c>
      <c r="P1278" t="n">
        <v>0.00232</v>
      </c>
      <c r="Q1278" t="n">
        <v>-5</v>
      </c>
      <c r="R1278" t="n">
        <v>0.004883</v>
      </c>
      <c r="S1278">
        <f>IMAGE("https://mitra.stanford.edu/kundaje/oak/projects/neuro-variants/variant_position/credible/roussos_2024/variant_figures/roussos_2024.childhood.GLU/rs117799466_count_position.png",4,220,900)</f>
        <v/>
      </c>
      <c r="T1278">
        <f>IMAGE("https://mitra.stanford.edu/kundaje/oak/projects/neuro-variants/variant_position/credible/roussos_2024/variant_figures/roussos_2024.childhood.GLU/rs117799466_profile_position.png",4,220,900)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0.0004290872</v>
      </c>
      <c r="G1279" t="n">
        <v>0.6000971927949407</v>
      </c>
      <c r="H1279" t="n">
        <v>0.0092851095515243</v>
      </c>
      <c r="I1279" t="n">
        <v>0.7394815851608105</v>
      </c>
      <c r="J1279" t="n">
        <v>0.0743270112396591</v>
      </c>
      <c r="K1279" t="n">
        <v>0.2915770774413304</v>
      </c>
      <c r="L1279" t="b">
        <v>0</v>
      </c>
      <c r="M1279" t="b">
        <v>0</v>
      </c>
      <c r="N1279" t="inlineStr">
        <is>
          <t>alt</t>
        </is>
      </c>
      <c r="O1279" t="n">
        <v>-100</v>
      </c>
      <c r="P1279" t="n">
        <v>0.02171</v>
      </c>
      <c r="Q1279" t="n">
        <v>10</v>
      </c>
      <c r="R1279" t="n">
        <v>0.01297</v>
      </c>
      <c r="S1279">
        <f>IMAGE("https://mitra.stanford.edu/kundaje/oak/projects/neuro-variants/variant_position/credible/roussos_2024/variant_figures/roussos_2024.childhood.GLU/rs11070264_count_position.png",4,220,900)</f>
        <v/>
      </c>
      <c r="T1279">
        <f>IMAGE("https://mitra.stanford.edu/kundaje/oak/projects/neuro-variants/variant_position/credible/roussos_2024/variant_figures/roussos_2024.childhood.GLU/rs11070264_profile_position.png",4,220,900)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0.0576836212</v>
      </c>
      <c r="G1280" t="n">
        <v>0.1329443290007845</v>
      </c>
      <c r="H1280" t="n">
        <v>0.0135264522132291</v>
      </c>
      <c r="I1280" t="n">
        <v>0.3351824635811457</v>
      </c>
      <c r="J1280" t="n">
        <v>0.7036428446330885</v>
      </c>
      <c r="K1280" t="n">
        <v>0.0146681410158348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0.01037</v>
      </c>
      <c r="Q1280" t="n">
        <v>-95</v>
      </c>
      <c r="R1280" t="n">
        <v>0.08704000000000001</v>
      </c>
      <c r="S1280">
        <f>IMAGE("https://mitra.stanford.edu/kundaje/oak/projects/neuro-variants/variant_position/credible/roussos_2024/variant_figures/roussos_2024.childhood.GLU/rs2289334_count_position.png",4,220,900)</f>
        <v/>
      </c>
      <c r="T1280">
        <f>IMAGE("https://mitra.stanford.edu/kundaje/oak/projects/neuro-variants/variant_position/credible/roussos_2024/variant_figures/roussos_2024.childhood.GLU/rs2289334_profile_position.png",4,220,900)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0.0319021126</v>
      </c>
      <c r="G1281" t="n">
        <v>0.3018686864166073</v>
      </c>
      <c r="H1281" t="n">
        <v>0.0126208536371065</v>
      </c>
      <c r="I1281" t="n">
        <v>0.4027957109936071</v>
      </c>
      <c r="J1281" t="n">
        <v>0.1982589345503621</v>
      </c>
      <c r="K1281" t="n">
        <v>0.150680420164325</v>
      </c>
      <c r="L1281" t="b">
        <v>0</v>
      </c>
      <c r="M1281" t="b">
        <v>0</v>
      </c>
      <c r="N1281" t="inlineStr">
        <is>
          <t>alt</t>
        </is>
      </c>
      <c r="O1281" t="n">
        <v>-100</v>
      </c>
      <c r="P1281" t="n">
        <v>0.002604</v>
      </c>
      <c r="Q1281" t="n">
        <v>90</v>
      </c>
      <c r="R1281" t="n">
        <v>0.147</v>
      </c>
      <c r="S1281">
        <f>IMAGE("https://mitra.stanford.edu/kundaje/oak/projects/neuro-variants/variant_position/credible/roussos_2024/variant_figures/roussos_2024.childhood.GLU/rs1077476_count_position.png",4,220,900)</f>
        <v/>
      </c>
      <c r="T1281">
        <f>IMAGE("https://mitra.stanford.edu/kundaje/oak/projects/neuro-variants/variant_position/credible/roussos_2024/variant_figures/roussos_2024.childhood.GLU/rs1077476_profile_position.png",4,220,900)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0.00252325778</v>
      </c>
      <c r="G1282" t="n">
        <v>0.7516663934148939</v>
      </c>
      <c r="H1282" t="n">
        <v>0.029920295247057</v>
      </c>
      <c r="I1282" t="n">
        <v>0.0216698566119027</v>
      </c>
      <c r="J1282" t="n">
        <v>0.0133330586090019</v>
      </c>
      <c r="K1282" t="n">
        <v>0.5603169090996584</v>
      </c>
      <c r="L1282" t="b">
        <v>0</v>
      </c>
      <c r="M1282" t="b">
        <v>0</v>
      </c>
      <c r="N1282" t="inlineStr">
        <is>
          <t>alt</t>
        </is>
      </c>
      <c r="O1282" t="n">
        <v>100</v>
      </c>
      <c r="P1282" t="n">
        <v>0.00267</v>
      </c>
      <c r="Q1282" t="n">
        <v>-80</v>
      </c>
      <c r="R1282" t="n">
        <v>0.06270000000000001</v>
      </c>
      <c r="S1282">
        <f>IMAGE("https://mitra.stanford.edu/kundaje/oak/projects/neuro-variants/variant_position/credible/roussos_2024/variant_figures/roussos_2024.childhood.GLU/rs2467742_count_position.png",4,220,900)</f>
        <v/>
      </c>
      <c r="T1282">
        <f>IMAGE("https://mitra.stanford.edu/kundaje/oak/projects/neuro-variants/variant_position/credible/roussos_2024/variant_figures/roussos_2024.childhood.GLU/rs2467742_profile_position.png",4,220,900)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-0.00028442022</v>
      </c>
      <c r="G1283" t="n">
        <v>0.8912438319861961</v>
      </c>
      <c r="H1283" t="n">
        <v>0.0268056874107887</v>
      </c>
      <c r="I1283" t="n">
        <v>0.032912871332215</v>
      </c>
      <c r="J1283" t="n">
        <v>0.0130981693057372</v>
      </c>
      <c r="K1283" t="n">
        <v>0.5526994756863516</v>
      </c>
      <c r="L1283" t="b">
        <v>0</v>
      </c>
      <c r="M1283" t="b">
        <v>0</v>
      </c>
      <c r="N1283" t="inlineStr">
        <is>
          <t>ref</t>
        </is>
      </c>
      <c r="O1283" t="n">
        <v>-95</v>
      </c>
      <c r="P1283" t="n">
        <v>0.00927</v>
      </c>
      <c r="Q1283" t="n">
        <v>-100</v>
      </c>
      <c r="R1283" t="n">
        <v>0.1376</v>
      </c>
      <c r="S1283">
        <f>IMAGE("https://mitra.stanford.edu/kundaje/oak/projects/neuro-variants/variant_position/credible/roussos_2024/variant_figures/roussos_2024.childhood.GLU/rs518288_count_position.png",4,220,900)</f>
        <v/>
      </c>
      <c r="T1283">
        <f>IMAGE("https://mitra.stanford.edu/kundaje/oak/projects/neuro-variants/variant_position/credible/roussos_2024/variant_figures/roussos_2024.childhood.GLU/rs518288_profile_position.png",4,220,900)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0.081853076</v>
      </c>
      <c r="G1284" t="n">
        <v>0.069841255428957</v>
      </c>
      <c r="H1284" t="n">
        <v>0.0173284159260531</v>
      </c>
      <c r="I1284" t="n">
        <v>0.1635895784706125</v>
      </c>
      <c r="J1284" t="n">
        <v>0.587355125840914</v>
      </c>
      <c r="K1284" t="n">
        <v>0.0283747525041289</v>
      </c>
      <c r="L1284" t="b">
        <v>0</v>
      </c>
      <c r="M1284" t="b">
        <v>0</v>
      </c>
      <c r="N1284" t="inlineStr">
        <is>
          <t>alt</t>
        </is>
      </c>
      <c r="O1284" t="n">
        <v>-100</v>
      </c>
      <c r="P1284" t="n">
        <v>0.04327</v>
      </c>
      <c r="Q1284" t="n">
        <v>-100</v>
      </c>
      <c r="R1284" t="n">
        <v>0.364</v>
      </c>
      <c r="S1284">
        <f>IMAGE("https://mitra.stanford.edu/kundaje/oak/projects/neuro-variants/variant_position/credible/roussos_2024/variant_figures/roussos_2024.childhood.GLU/rs572837_count_position.png",4,220,900)</f>
        <v/>
      </c>
      <c r="T1284">
        <f>IMAGE("https://mitra.stanford.edu/kundaje/oak/projects/neuro-variants/variant_position/credible/roussos_2024/variant_figures/roussos_2024.childhood.GLU/rs572837_profile_position.png",4,220,900)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-0.128489404</v>
      </c>
      <c r="G1285" t="n">
        <v>0.0261090938896669</v>
      </c>
      <c r="H1285" t="n">
        <v>0.0213070782574796</v>
      </c>
      <c r="I1285" t="n">
        <v>0.08010306053649929</v>
      </c>
      <c r="J1285" t="n">
        <v>0.0051716855367941</v>
      </c>
      <c r="K1285" t="n">
        <v>0.6709173090295384</v>
      </c>
      <c r="L1285" t="b">
        <v>0</v>
      </c>
      <c r="M1285" t="b">
        <v>0</v>
      </c>
      <c r="N1285" t="inlineStr">
        <is>
          <t>ref</t>
        </is>
      </c>
      <c r="O1285" t="n">
        <v>-70</v>
      </c>
      <c r="P1285" t="n">
        <v>0.00386</v>
      </c>
      <c r="Q1285" t="n">
        <v>-95</v>
      </c>
      <c r="R1285" t="n">
        <v>0.02356</v>
      </c>
      <c r="S1285">
        <f>IMAGE("https://mitra.stanford.edu/kundaje/oak/projects/neuro-variants/variant_position/credible/roussos_2024/variant_figures/roussos_2024.childhood.GLU/rs2255663_count_position.png",4,220,900)</f>
        <v/>
      </c>
      <c r="T1285">
        <f>IMAGE("https://mitra.stanford.edu/kundaje/oak/projects/neuro-variants/variant_position/credible/roussos_2024/variant_figures/roussos_2024.childhood.GLU/rs2255663_profile_position.png",4,220,900)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-0.01466333044</v>
      </c>
      <c r="G1286" t="n">
        <v>0.5743054448832188</v>
      </c>
      <c r="H1286" t="n">
        <v>0.0278797485905085</v>
      </c>
      <c r="I1286" t="n">
        <v>0.0281541145360311</v>
      </c>
      <c r="J1286" t="n">
        <v>0.0427941524926081</v>
      </c>
      <c r="K1286" t="n">
        <v>0.3771077495465101</v>
      </c>
      <c r="L1286" t="b">
        <v>0</v>
      </c>
      <c r="M1286" t="b">
        <v>0</v>
      </c>
      <c r="N1286" t="inlineStr">
        <is>
          <t>ref</t>
        </is>
      </c>
      <c r="O1286" t="n">
        <v>-90</v>
      </c>
      <c r="P1286" t="n">
        <v>0.01578</v>
      </c>
      <c r="Q1286" t="n">
        <v>-55</v>
      </c>
      <c r="R1286" t="n">
        <v>0.0616</v>
      </c>
      <c r="S1286">
        <f>IMAGE("https://mitra.stanford.edu/kundaje/oak/projects/neuro-variants/variant_position/credible/roussos_2024/variant_figures/roussos_2024.childhood.GLU/rs7169112_count_position.png",4,220,900)</f>
        <v/>
      </c>
      <c r="T1286">
        <f>IMAGE("https://mitra.stanford.edu/kundaje/oak/projects/neuro-variants/variant_position/credible/roussos_2024/variant_figures/roussos_2024.childhood.GLU/rs7169112_profile_position.png",4,220,900)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-0.00635758646</v>
      </c>
      <c r="G1287" t="n">
        <v>0.754671330702833</v>
      </c>
      <c r="H1287" t="n">
        <v>0.0460983455451811</v>
      </c>
      <c r="I1287" t="n">
        <v>0.0037911907848858</v>
      </c>
      <c r="J1287" t="n">
        <v>0.0196884626083014</v>
      </c>
      <c r="K1287" t="n">
        <v>0.5025417389646952</v>
      </c>
      <c r="L1287" t="b">
        <v>1</v>
      </c>
      <c r="M1287" t="b">
        <v>0</v>
      </c>
      <c r="N1287" t="inlineStr">
        <is>
          <t>ref</t>
        </is>
      </c>
      <c r="O1287" t="n">
        <v>-50</v>
      </c>
      <c r="P1287" t="n">
        <v>0.01709</v>
      </c>
      <c r="Q1287" t="n">
        <v>-100</v>
      </c>
      <c r="R1287" t="n">
        <v>0.08740000000000001</v>
      </c>
      <c r="S1287">
        <f>IMAGE("https://mitra.stanford.edu/kundaje/oak/projects/neuro-variants/variant_position/credible/roussos_2024/variant_figures/roussos_2024.childhood.GLU/rs8033846_count_position.png",4,220,900)</f>
        <v/>
      </c>
      <c r="T1287">
        <f>IMAGE("https://mitra.stanford.edu/kundaje/oak/projects/neuro-variants/variant_position/credible/roussos_2024/variant_figures/roussos_2024.childhood.GLU/rs8033846_profile_position.png",4,220,900)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-0.005695952706</v>
      </c>
      <c r="G1288" t="n">
        <v>0.7541981955750203</v>
      </c>
      <c r="H1288" t="n">
        <v>0.0252255184064797</v>
      </c>
      <c r="I1288" t="n">
        <v>0.043049450091542</v>
      </c>
      <c r="J1288" t="n">
        <v>0.9518878712641784</v>
      </c>
      <c r="K1288" t="n">
        <v>0.0003724150525814</v>
      </c>
      <c r="L1288" t="b">
        <v>0</v>
      </c>
      <c r="M1288" t="b">
        <v>0</v>
      </c>
      <c r="N1288" t="inlineStr">
        <is>
          <t>ref</t>
        </is>
      </c>
      <c r="O1288" t="n">
        <v>100</v>
      </c>
      <c r="P1288" t="n">
        <v>0.00708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IMAGE("https://mitra.stanford.edu/kundaje/oak/projects/neuro-variants/variant_position/credible/roussos_2024/variant_figures/roussos_2024.childhood.GLU/rs7174732_count_position.png",4,220,900)</f>
        <v/>
      </c>
      <c r="T1288">
        <f>IMAGE("https://mitra.stanford.edu/kundaje/oak/projects/neuro-variants/variant_position/credible/roussos_2024/variant_figures/roussos_2024.childhood.GLU/rs7174732_profile_position.png",4,220,900)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0.00322613086</v>
      </c>
      <c r="G1289" t="n">
        <v>0.6084626127980669</v>
      </c>
      <c r="H1289" t="n">
        <v>0.0123313554521318</v>
      </c>
      <c r="I1289" t="n">
        <v>0.413856805332051</v>
      </c>
      <c r="J1289" t="n">
        <v>0.9086270308137678</v>
      </c>
      <c r="K1289" t="n">
        <v>0.0017755470578495</v>
      </c>
      <c r="L1289" t="b">
        <v>0</v>
      </c>
      <c r="M1289" t="b">
        <v>0</v>
      </c>
      <c r="N1289" t="inlineStr">
        <is>
          <t>alt</t>
        </is>
      </c>
      <c r="O1289" t="n">
        <v>-100</v>
      </c>
      <c r="P1289" t="n">
        <v>0.00949</v>
      </c>
      <c r="Q1289" t="n">
        <v>-40</v>
      </c>
      <c r="R1289" t="n">
        <v>0.0688</v>
      </c>
      <c r="S1289">
        <f>IMAGE("https://mitra.stanford.edu/kundaje/oak/projects/neuro-variants/variant_position/credible/roussos_2024/variant_figures/roussos_2024.childhood.GLU/rs2411284_count_position.png",4,220,900)</f>
        <v/>
      </c>
      <c r="T1289">
        <f>IMAGE("https://mitra.stanford.edu/kundaje/oak/projects/neuro-variants/variant_position/credible/roussos_2024/variant_figures/roussos_2024.childhood.GLU/rs2411284_profile_position.png",4,220,900)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-0.0354700364</v>
      </c>
      <c r="G1290" t="n">
        <v>0.2936092259116128</v>
      </c>
      <c r="H1290" t="n">
        <v>0.0098631941140869</v>
      </c>
      <c r="I1290" t="n">
        <v>0.6798639878854792</v>
      </c>
      <c r="J1290" t="n">
        <v>0.09914389030257439</v>
      </c>
      <c r="K1290" t="n">
        <v>0.24612948748805</v>
      </c>
      <c r="L1290" t="b">
        <v>0</v>
      </c>
      <c r="M1290" t="b">
        <v>0</v>
      </c>
      <c r="N1290" t="inlineStr">
        <is>
          <t>ref</t>
        </is>
      </c>
      <c r="O1290" t="n">
        <v>100</v>
      </c>
      <c r="P1290" t="n">
        <v>0.00919</v>
      </c>
      <c r="Q1290" t="n">
        <v>100</v>
      </c>
      <c r="R1290" t="n">
        <v>0.1606</v>
      </c>
      <c r="S1290">
        <f>IMAGE("https://mitra.stanford.edu/kundaje/oak/projects/neuro-variants/variant_position/credible/roussos_2024/variant_figures/roussos_2024.childhood.GLU/rs12441861_count_position.png",4,220,900)</f>
        <v/>
      </c>
      <c r="T1290">
        <f>IMAGE("https://mitra.stanford.edu/kundaje/oak/projects/neuro-variants/variant_position/credible/roussos_2024/variant_figures/roussos_2024.childhood.GLU/rs12441861_profile_position.png",4,220,900)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-0.016848273</v>
      </c>
      <c r="G1291" t="n">
        <v>0.5192767919237472</v>
      </c>
      <c r="H1291" t="n">
        <v>0.0448544101850947</v>
      </c>
      <c r="I1291" t="n">
        <v>0.0041370707239879</v>
      </c>
      <c r="J1291" t="n">
        <v>0.0298917242729248</v>
      </c>
      <c r="K1291" t="n">
        <v>0.4460909698764312</v>
      </c>
      <c r="L1291" t="b">
        <v>1</v>
      </c>
      <c r="M1291" t="b">
        <v>0</v>
      </c>
      <c r="N1291" t="inlineStr">
        <is>
          <t>ref</t>
        </is>
      </c>
      <c r="O1291" t="n">
        <v>95</v>
      </c>
      <c r="P1291" t="n">
        <v>0.0396</v>
      </c>
      <c r="Q1291" t="n">
        <v>80</v>
      </c>
      <c r="R1291" t="n">
        <v>0.0847</v>
      </c>
      <c r="S1291">
        <f>IMAGE("https://mitra.stanford.edu/kundaje/oak/projects/neuro-variants/variant_position/credible/roussos_2024/variant_figures/roussos_2024.childhood.GLU/rs2957583_count_position.png",4,220,900)</f>
        <v/>
      </c>
      <c r="T1291">
        <f>IMAGE("https://mitra.stanford.edu/kundaje/oak/projects/neuro-variants/variant_position/credible/roussos_2024/variant_figures/roussos_2024.childhood.GLU/rs2957583_profile_position.png",4,220,900)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-0.1678932786</v>
      </c>
      <c r="G1292" t="n">
        <v>0.0151414142889053</v>
      </c>
      <c r="H1292" t="n">
        <v>0.0362797369708885</v>
      </c>
      <c r="I1292" t="n">
        <v>0.0108139216018457</v>
      </c>
      <c r="J1292" t="n">
        <v>0.1239535578517931</v>
      </c>
      <c r="K1292" t="n">
        <v>0.2174967352909133</v>
      </c>
      <c r="L1292" t="b">
        <v>1</v>
      </c>
      <c r="M1292" t="b">
        <v>0</v>
      </c>
      <c r="N1292" t="inlineStr">
        <is>
          <t>ref</t>
        </is>
      </c>
      <c r="O1292" t="n">
        <v>30</v>
      </c>
      <c r="P1292" t="n">
        <v>0.003479</v>
      </c>
      <c r="Q1292" t="n">
        <v>85</v>
      </c>
      <c r="R1292" t="n">
        <v>0.0658</v>
      </c>
      <c r="S1292">
        <f>IMAGE("https://mitra.stanford.edu/kundaje/oak/projects/neuro-variants/variant_position/credible/roussos_2024/variant_figures/roussos_2024.childhood.GLU/rs4924727_count_position.png",4,220,900)</f>
        <v/>
      </c>
      <c r="T1292">
        <f>IMAGE("https://mitra.stanford.edu/kundaje/oak/projects/neuro-variants/variant_position/credible/roussos_2024/variant_figures/roussos_2024.childhood.GLU/rs4924727_profile_position.png",4,220,900)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0.0882127744</v>
      </c>
      <c r="G1293" t="n">
        <v>0.0650730688635158</v>
      </c>
      <c r="H1293" t="n">
        <v>0.0312679783607969</v>
      </c>
      <c r="I1293" t="n">
        <v>0.0206309198004726</v>
      </c>
      <c r="J1293" t="n">
        <v>0.0098509277097262</v>
      </c>
      <c r="K1293" t="n">
        <v>0.6076492237098768</v>
      </c>
      <c r="L1293" t="b">
        <v>0</v>
      </c>
      <c r="M1293" t="b">
        <v>0</v>
      </c>
      <c r="N1293" t="inlineStr">
        <is>
          <t>alt</t>
        </is>
      </c>
      <c r="O1293" t="n">
        <v>-65</v>
      </c>
      <c r="P1293" t="n">
        <v>0.002144</v>
      </c>
      <c r="Q1293" t="n">
        <v>-100</v>
      </c>
      <c r="R1293" t="n">
        <v>0.1895</v>
      </c>
      <c r="S1293">
        <f>IMAGE("https://mitra.stanford.edu/kundaje/oak/projects/neuro-variants/variant_position/credible/roussos_2024/variant_figures/roussos_2024.childhood.GLU/rs12437804_count_position.png",4,220,900)</f>
        <v/>
      </c>
      <c r="T1293">
        <f>IMAGE("https://mitra.stanford.edu/kundaje/oak/projects/neuro-variants/variant_position/credible/roussos_2024/variant_figures/roussos_2024.childhood.GLU/rs12437804_profile_position.png",4,220,900)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0.135979403</v>
      </c>
      <c r="G1294" t="n">
        <v>0.0217212702015305</v>
      </c>
      <c r="H1294" t="n">
        <v>0.0219224965109437</v>
      </c>
      <c r="I1294" t="n">
        <v>0.0721488631705485</v>
      </c>
      <c r="J1294" t="n">
        <v>0.0169398456736068</v>
      </c>
      <c r="K1294" t="n">
        <v>0.5180774658476828</v>
      </c>
      <c r="L1294" t="b">
        <v>0</v>
      </c>
      <c r="M1294" t="b">
        <v>0</v>
      </c>
      <c r="N1294" t="inlineStr">
        <is>
          <t>alt</t>
        </is>
      </c>
      <c r="O1294" t="n">
        <v>80</v>
      </c>
      <c r="P1294" t="n">
        <v>0.02696</v>
      </c>
      <c r="Q1294" t="n">
        <v>80</v>
      </c>
      <c r="R1294" t="n">
        <v>0.2605</v>
      </c>
      <c r="S1294">
        <f>IMAGE("https://mitra.stanford.edu/kundaje/oak/projects/neuro-variants/variant_position/credible/roussos_2024/variant_figures/roussos_2024.childhood.GLU/rs4419034_count_position.png",4,220,900)</f>
        <v/>
      </c>
      <c r="T1294">
        <f>IMAGE("https://mitra.stanford.edu/kundaje/oak/projects/neuro-variants/variant_position/credible/roussos_2024/variant_figures/roussos_2024.childhood.GLU/rs4419034_profile_position.png",4,220,900)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-0.2733898499999999</v>
      </c>
      <c r="G1295" t="n">
        <v>0.0032426462511536</v>
      </c>
      <c r="H1295" t="n">
        <v>0.037463835304816</v>
      </c>
      <c r="I1295" t="n">
        <v>0.0112120635297724</v>
      </c>
      <c r="J1295" t="n">
        <v>0.0335850495018904</v>
      </c>
      <c r="K1295" t="n">
        <v>0.4125250508222134</v>
      </c>
      <c r="L1295" t="b">
        <v>1</v>
      </c>
      <c r="M1295" t="b">
        <v>1</v>
      </c>
      <c r="N1295" t="inlineStr">
        <is>
          <t>ref</t>
        </is>
      </c>
      <c r="O1295" t="n">
        <v>80</v>
      </c>
      <c r="P1295" t="n">
        <v>0.01653</v>
      </c>
      <c r="Q1295" t="n">
        <v>-100</v>
      </c>
      <c r="R1295" t="n">
        <v>0.197</v>
      </c>
      <c r="S1295">
        <f>IMAGE("https://mitra.stanford.edu/kundaje/oak/projects/neuro-variants/variant_position/credible/roussos_2024/variant_figures/roussos_2024.childhood.GLU/rs2706488_count_position.png",4,220,900)</f>
        <v/>
      </c>
      <c r="T1295">
        <f>IMAGE("https://mitra.stanford.edu/kundaje/oak/projects/neuro-variants/variant_position/credible/roussos_2024/variant_figures/roussos_2024.childhood.GLU/rs2706488_profile_position.png",4,220,900)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0.0238423424</v>
      </c>
      <c r="G1296" t="n">
        <v>0.3475654798028371</v>
      </c>
      <c r="H1296" t="n">
        <v>0.0257658564376947</v>
      </c>
      <c r="I1296" t="n">
        <v>0.0387128456403346</v>
      </c>
      <c r="J1296" t="n">
        <v>0.0059742239896153</v>
      </c>
      <c r="K1296" t="n">
        <v>0.6519655702375987</v>
      </c>
      <c r="L1296" t="b">
        <v>0</v>
      </c>
      <c r="M1296" t="b">
        <v>0</v>
      </c>
      <c r="N1296" t="inlineStr">
        <is>
          <t>alt</t>
        </is>
      </c>
      <c r="O1296" t="n">
        <v>35</v>
      </c>
      <c r="P1296" t="n">
        <v>0.00412</v>
      </c>
      <c r="Q1296" t="n">
        <v>-100</v>
      </c>
      <c r="R1296" t="n">
        <v>0.03656</v>
      </c>
      <c r="S1296">
        <f>IMAGE("https://mitra.stanford.edu/kundaje/oak/projects/neuro-variants/variant_position/credible/roussos_2024/variant_figures/roussos_2024.childhood.GLU/rs2957581_count_position.png",4,220,900)</f>
        <v/>
      </c>
      <c r="T1296">
        <f>IMAGE("https://mitra.stanford.edu/kundaje/oak/projects/neuro-variants/variant_position/credible/roussos_2024/variant_figures/roussos_2024.childhood.GLU/rs2957581_profile_position.png",4,220,900)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-0.053402294</v>
      </c>
      <c r="G1297" t="n">
        <v>0.169509960610223</v>
      </c>
      <c r="H1297" t="n">
        <v>0.0126539827799826</v>
      </c>
      <c r="I1297" t="n">
        <v>0.3934153987949946</v>
      </c>
      <c r="J1297" t="n">
        <v>0.0025714197410035</v>
      </c>
      <c r="K1297" t="n">
        <v>0.7392516001414314</v>
      </c>
      <c r="L1297" t="b">
        <v>0</v>
      </c>
      <c r="M1297" t="b">
        <v>0</v>
      </c>
      <c r="N1297" t="inlineStr">
        <is>
          <t>ref</t>
        </is>
      </c>
      <c r="O1297" t="n">
        <v>-60</v>
      </c>
      <c r="P1297" t="n">
        <v>0.01575</v>
      </c>
      <c r="Q1297" t="n">
        <v>100</v>
      </c>
      <c r="R1297" t="n">
        <v>0.03015</v>
      </c>
      <c r="S1297">
        <f>IMAGE("https://mitra.stanford.edu/kundaje/oak/projects/neuro-variants/variant_position/credible/roussos_2024/variant_figures/roussos_2024.childhood.GLU/rs2615285_count_position.png",4,220,900)</f>
        <v/>
      </c>
      <c r="T1297">
        <f>IMAGE("https://mitra.stanford.edu/kundaje/oak/projects/neuro-variants/variant_position/credible/roussos_2024/variant_figures/roussos_2024.childhood.GLU/rs2615285_profile_position.png",4,220,900)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0.00652759834</v>
      </c>
      <c r="G1298" t="n">
        <v>0.7283858365823968</v>
      </c>
      <c r="H1298" t="n">
        <v>0.0246661966827732</v>
      </c>
      <c r="I1298" t="n">
        <v>0.045624789068415</v>
      </c>
      <c r="J1298" t="n">
        <v>0.0371073588346193</v>
      </c>
      <c r="K1298" t="n">
        <v>0.4027257704083291</v>
      </c>
      <c r="L1298" t="b">
        <v>0</v>
      </c>
      <c r="M1298" t="b">
        <v>0</v>
      </c>
      <c r="N1298" t="inlineStr">
        <is>
          <t>alt</t>
        </is>
      </c>
      <c r="O1298" t="n">
        <v>100</v>
      </c>
      <c r="P1298" t="n">
        <v>0.003613</v>
      </c>
      <c r="Q1298" t="n">
        <v>-15</v>
      </c>
      <c r="R1298" t="n">
        <v>0.037</v>
      </c>
      <c r="S1298">
        <f>IMAGE("https://mitra.stanford.edu/kundaje/oak/projects/neuro-variants/variant_position/credible/roussos_2024/variant_figures/roussos_2024.childhood.GLU/rs2555385_count_position.png",4,220,900)</f>
        <v/>
      </c>
      <c r="T1298">
        <f>IMAGE("https://mitra.stanford.edu/kundaje/oak/projects/neuro-variants/variant_position/credible/roussos_2024/variant_figures/roussos_2024.childhood.GLU/rs2555385_profile_position.png",4,220,900)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0.206715518</v>
      </c>
      <c r="G1299" t="n">
        <v>0.0082538466054484</v>
      </c>
      <c r="H1299" t="n">
        <v>0.045938296871126</v>
      </c>
      <c r="I1299" t="n">
        <v>0.0044047650276406</v>
      </c>
      <c r="J1299" t="n">
        <v>0.2476361688318377</v>
      </c>
      <c r="K1299" t="n">
        <v>0.1221604262084408</v>
      </c>
      <c r="L1299" t="b">
        <v>1</v>
      </c>
      <c r="M1299" t="b">
        <v>1</v>
      </c>
      <c r="N1299" t="inlineStr">
        <is>
          <t>alt</t>
        </is>
      </c>
      <c r="O1299" t="n">
        <v>-40</v>
      </c>
      <c r="P1299" t="n">
        <v>0.02493</v>
      </c>
      <c r="Q1299" t="n">
        <v>-20</v>
      </c>
      <c r="R1299" t="n">
        <v>0.1299</v>
      </c>
      <c r="S1299">
        <f>IMAGE("https://mitra.stanford.edu/kundaje/oak/projects/neuro-variants/variant_position/credible/roussos_2024/variant_figures/roussos_2024.childhood.GLU/rs2114422_count_position.png",4,220,900)</f>
        <v/>
      </c>
      <c r="T1299">
        <f>IMAGE("https://mitra.stanford.edu/kundaje/oak/projects/neuro-variants/variant_position/credible/roussos_2024/variant_figures/roussos_2024.childhood.GLU/rs2114422_profile_position.png",4,220,900)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-0.01058895304</v>
      </c>
      <c r="G1300" t="n">
        <v>0.6000574670992855</v>
      </c>
      <c r="H1300" t="n">
        <v>0.0348460990983028</v>
      </c>
      <c r="I1300" t="n">
        <v>0.0117624944253131</v>
      </c>
      <c r="J1300" t="n">
        <v>0.0101105422028083</v>
      </c>
      <c r="K1300" t="n">
        <v>0.6033553940716468</v>
      </c>
      <c r="L1300" t="b">
        <v>1</v>
      </c>
      <c r="M1300" t="b">
        <v>0</v>
      </c>
      <c r="N1300" t="inlineStr">
        <is>
          <t>ref</t>
        </is>
      </c>
      <c r="O1300" t="n">
        <v>70</v>
      </c>
      <c r="P1300" t="n">
        <v>0.005585</v>
      </c>
      <c r="Q1300" t="n">
        <v>35</v>
      </c>
      <c r="R1300" t="n">
        <v>0.0359</v>
      </c>
      <c r="S1300">
        <f>IMAGE("https://mitra.stanford.edu/kundaje/oak/projects/neuro-variants/variant_position/credible/roussos_2024/variant_figures/roussos_2024.childhood.GLU/rs8042697_count_position.png",4,220,900)</f>
        <v/>
      </c>
      <c r="T1300">
        <f>IMAGE("https://mitra.stanford.edu/kundaje/oak/projects/neuro-variants/variant_position/credible/roussos_2024/variant_figures/roussos_2024.childhood.GLU/rs8042697_profile_position.png",4,220,900)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0.0638482026</v>
      </c>
      <c r="G1301" t="n">
        <v>0.1226239743946249</v>
      </c>
      <c r="H1301" t="n">
        <v>0.0219088060277371</v>
      </c>
      <c r="I1301" t="n">
        <v>0.07337351167361381</v>
      </c>
      <c r="J1301" t="n">
        <v>0.0021727260551989</v>
      </c>
      <c r="K1301" t="n">
        <v>0.7530307268610248</v>
      </c>
      <c r="L1301" t="b">
        <v>0</v>
      </c>
      <c r="M1301" t="b">
        <v>0</v>
      </c>
      <c r="N1301" t="inlineStr">
        <is>
          <t>alt</t>
        </is>
      </c>
      <c r="O1301" t="n">
        <v>-80</v>
      </c>
      <c r="P1301" t="n">
        <v>0.1482</v>
      </c>
      <c r="Q1301" t="n">
        <v>-80</v>
      </c>
      <c r="R1301" t="n">
        <v>0.08434999999999999</v>
      </c>
      <c r="S1301">
        <f>IMAGE("https://mitra.stanford.edu/kundaje/oak/projects/neuro-variants/variant_position/credible/roussos_2024/variant_figures/roussos_2024.childhood.GLU/rs2706472_count_position.png",4,220,900)</f>
        <v/>
      </c>
      <c r="T1301">
        <f>IMAGE("https://mitra.stanford.edu/kundaje/oak/projects/neuro-variants/variant_position/credible/roussos_2024/variant_figures/roussos_2024.childhood.GLU/rs2706472_profile_position.png",4,220,900)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0.0691688224</v>
      </c>
      <c r="G1302" t="n">
        <v>0.0950260947591401</v>
      </c>
      <c r="H1302" t="n">
        <v>0.0116142536065143</v>
      </c>
      <c r="I1302" t="n">
        <v>0.4909281170297943</v>
      </c>
      <c r="J1302" t="n">
        <v>0.0573583195112653</v>
      </c>
      <c r="K1302" t="n">
        <v>0.332947767499942</v>
      </c>
      <c r="L1302" t="b">
        <v>0</v>
      </c>
      <c r="M1302" t="b">
        <v>0</v>
      </c>
      <c r="N1302" t="inlineStr">
        <is>
          <t>alt</t>
        </is>
      </c>
      <c r="O1302" t="n">
        <v>60</v>
      </c>
      <c r="P1302" t="n">
        <v>0.00459</v>
      </c>
      <c r="Q1302" t="n">
        <v>100</v>
      </c>
      <c r="R1302" t="n">
        <v>0.1782</v>
      </c>
      <c r="S1302">
        <f>IMAGE("https://mitra.stanford.edu/kundaje/oak/projects/neuro-variants/variant_position/credible/roussos_2024/variant_figures/roussos_2024.childhood.GLU/rs1427281_count_position.png",4,220,900)</f>
        <v/>
      </c>
      <c r="T1302">
        <f>IMAGE("https://mitra.stanford.edu/kundaje/oak/projects/neuro-variants/variant_position/credible/roussos_2024/variant_figures/roussos_2024.childhood.GLU/rs1427281_profile_position.png",4,220,900)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0.04355565</v>
      </c>
      <c r="G1303" t="n">
        <v>0.2090497610702529</v>
      </c>
      <c r="H1303" t="n">
        <v>0.0356122307868285</v>
      </c>
      <c r="I1303" t="n">
        <v>0.0108190828813757</v>
      </c>
      <c r="J1303" t="n">
        <v>0.0530921940515313</v>
      </c>
      <c r="K1303" t="n">
        <v>0.3455358434492286</v>
      </c>
      <c r="L1303" t="b">
        <v>1</v>
      </c>
      <c r="M1303" t="b">
        <v>0</v>
      </c>
      <c r="N1303" t="inlineStr">
        <is>
          <t>alt</t>
        </is>
      </c>
      <c r="O1303" t="n">
        <v>15</v>
      </c>
      <c r="P1303" t="n">
        <v>0.003967</v>
      </c>
      <c r="Q1303" t="n">
        <v>15</v>
      </c>
      <c r="R1303" t="n">
        <v>0.03174</v>
      </c>
      <c r="S1303">
        <f>IMAGE("https://mitra.stanford.edu/kundaje/oak/projects/neuro-variants/variant_position/credible/roussos_2024/variant_figures/roussos_2024.childhood.GLU/rs74017282_count_position.png",4,220,900)</f>
        <v/>
      </c>
      <c r="T1303">
        <f>IMAGE("https://mitra.stanford.edu/kundaje/oak/projects/neuro-variants/variant_position/credible/roussos_2024/variant_figures/roussos_2024.childhood.GLU/rs74017282_profile_position.png",4,220,900)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-0.0755918558</v>
      </c>
      <c r="G1304" t="n">
        <v>0.1140329982660286</v>
      </c>
      <c r="H1304" t="n">
        <v>0.016211518823633</v>
      </c>
      <c r="I1304" t="n">
        <v>0.2114764980591392</v>
      </c>
      <c r="J1304" t="n">
        <v>0.0054477834897544</v>
      </c>
      <c r="K1304" t="n">
        <v>0.6621928762924069</v>
      </c>
      <c r="L1304" t="b">
        <v>0</v>
      </c>
      <c r="M1304" t="b">
        <v>0</v>
      </c>
      <c r="N1304" t="inlineStr">
        <is>
          <t>ref</t>
        </is>
      </c>
      <c r="O1304" t="n">
        <v>-80</v>
      </c>
      <c r="P1304" t="n">
        <v>0.001831</v>
      </c>
      <c r="Q1304" t="n">
        <v>-80</v>
      </c>
      <c r="R1304" t="n">
        <v>0.08484</v>
      </c>
      <c r="S1304">
        <f>IMAGE("https://mitra.stanford.edu/kundaje/oak/projects/neuro-variants/variant_position/credible/roussos_2024/variant_figures/roussos_2024.childhood.GLU/rs12912003_count_position.png",4,220,900)</f>
        <v/>
      </c>
      <c r="T1304">
        <f>IMAGE("https://mitra.stanford.edu/kundaje/oak/projects/neuro-variants/variant_position/credible/roussos_2024/variant_figures/roussos_2024.childhood.GLU/rs12912003_profile_position.png",4,220,900)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0.0580233911999999</v>
      </c>
      <c r="G1305" t="n">
        <v>0.1447368456698782</v>
      </c>
      <c r="H1305" t="n">
        <v>0.0111483256075742</v>
      </c>
      <c r="I1305" t="n">
        <v>0.5384987738153341</v>
      </c>
      <c r="J1305" t="n">
        <v>0.177700969433484</v>
      </c>
      <c r="K1305" t="n">
        <v>0.1662502586539083</v>
      </c>
      <c r="L1305" t="b">
        <v>0</v>
      </c>
      <c r="M1305" t="b">
        <v>0</v>
      </c>
      <c r="N1305" t="inlineStr">
        <is>
          <t>alt</t>
        </is>
      </c>
      <c r="O1305" t="n">
        <v>-95</v>
      </c>
      <c r="P1305" t="n">
        <v>0.03102</v>
      </c>
      <c r="Q1305" t="n">
        <v>65</v>
      </c>
      <c r="R1305" t="n">
        <v>0.2112</v>
      </c>
      <c r="S1305">
        <f>IMAGE("https://mitra.stanford.edu/kundaje/oak/projects/neuro-variants/variant_position/credible/roussos_2024/variant_figures/roussos_2024.childhood.GLU/rs640704_count_position.png",4,220,900)</f>
        <v/>
      </c>
      <c r="T1305">
        <f>IMAGE("https://mitra.stanford.edu/kundaje/oak/projects/neuro-variants/variant_position/credible/roussos_2024/variant_figures/roussos_2024.childhood.GLU/rs640704_profile_position.png",4,220,900)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-0.00199128594</v>
      </c>
      <c r="G1306" t="n">
        <v>0.5373176706385153</v>
      </c>
      <c r="H1306" t="n">
        <v>0.022946766889855</v>
      </c>
      <c r="I1306" t="n">
        <v>0.0592091343139775</v>
      </c>
      <c r="J1306" t="n">
        <v>0.07846126902036731</v>
      </c>
      <c r="K1306" t="n">
        <v>0.282271029316294</v>
      </c>
      <c r="L1306" t="b">
        <v>0</v>
      </c>
      <c r="M1306" t="b">
        <v>0</v>
      </c>
      <c r="N1306" t="inlineStr">
        <is>
          <t>ref</t>
        </is>
      </c>
      <c r="O1306" t="n">
        <v>-65</v>
      </c>
      <c r="P1306" t="n">
        <v>0.006733</v>
      </c>
      <c r="Q1306" t="n">
        <v>-55</v>
      </c>
      <c r="R1306" t="n">
        <v>0.3203</v>
      </c>
      <c r="S1306">
        <f>IMAGE("https://mitra.stanford.edu/kundaje/oak/projects/neuro-variants/variant_position/credible/roussos_2024/variant_figures/roussos_2024.childhood.GLU/rs12437952_count_position.png",4,220,900)</f>
        <v/>
      </c>
      <c r="T1306">
        <f>IMAGE("https://mitra.stanford.edu/kundaje/oak/projects/neuro-variants/variant_position/credible/roussos_2024/variant_figures/roussos_2024.childhood.GLU/rs12437952_profile_position.png",4,220,900)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0.01492860544</v>
      </c>
      <c r="G1307" t="n">
        <v>0.5605118311594233</v>
      </c>
      <c r="H1307" t="n">
        <v>0.016553277856991</v>
      </c>
      <c r="I1307" t="n">
        <v>0.1925613685083519</v>
      </c>
      <c r="J1307" t="n">
        <v>0.0185377110655526</v>
      </c>
      <c r="K1307" t="n">
        <v>0.499499786687246</v>
      </c>
      <c r="L1307" t="b">
        <v>0</v>
      </c>
      <c r="M1307" t="b">
        <v>0</v>
      </c>
      <c r="N1307" t="inlineStr">
        <is>
          <t>alt</t>
        </is>
      </c>
      <c r="O1307" t="n">
        <v>-35</v>
      </c>
      <c r="P1307" t="n">
        <v>0.0108</v>
      </c>
      <c r="Q1307" t="n">
        <v>-35</v>
      </c>
      <c r="R1307" t="n">
        <v>0.0619</v>
      </c>
      <c r="S1307">
        <f>IMAGE("https://mitra.stanford.edu/kundaje/oak/projects/neuro-variants/variant_position/credible/roussos_2024/variant_figures/roussos_2024.childhood.GLU/rs8025383_count_position.png",4,220,900)</f>
        <v/>
      </c>
      <c r="T1307">
        <f>IMAGE("https://mitra.stanford.edu/kundaje/oak/projects/neuro-variants/variant_position/credible/roussos_2024/variant_figures/roussos_2024.childhood.GLU/rs8025383_profile_position.png",4,220,900)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0.00732582728</v>
      </c>
      <c r="G1308" t="n">
        <v>0.7119870939588041</v>
      </c>
      <c r="H1308" t="n">
        <v>0.0254773816266944</v>
      </c>
      <c r="I1308" t="n">
        <v>0.0410323849504117</v>
      </c>
      <c r="J1308" t="n">
        <v>0.030085404926494</v>
      </c>
      <c r="K1308" t="n">
        <v>0.4321793431879784</v>
      </c>
      <c r="L1308" t="b">
        <v>0</v>
      </c>
      <c r="M1308" t="b">
        <v>0</v>
      </c>
      <c r="N1308" t="inlineStr">
        <is>
          <t>alt</t>
        </is>
      </c>
      <c r="O1308" t="n">
        <v>-90</v>
      </c>
      <c r="P1308" t="n">
        <v>0.02618</v>
      </c>
      <c r="Q1308" t="n">
        <v>-100</v>
      </c>
      <c r="R1308" t="n">
        <v>0.08069999999999999</v>
      </c>
      <c r="S1308">
        <f>IMAGE("https://mitra.stanford.edu/kundaje/oak/projects/neuro-variants/variant_position/credible/roussos_2024/variant_figures/roussos_2024.childhood.GLU/rs474875_count_position.png",4,220,900)</f>
        <v/>
      </c>
      <c r="T1308">
        <f>IMAGE("https://mitra.stanford.edu/kundaje/oak/projects/neuro-variants/variant_position/credible/roussos_2024/variant_figures/roussos_2024.childhood.GLU/rs474875_profile_position.png",4,220,900)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-0.0087289594</v>
      </c>
      <c r="G1309" t="n">
        <v>0.700584120479123</v>
      </c>
      <c r="H1309" t="n">
        <v>0.0230574874883795</v>
      </c>
      <c r="I1309" t="n">
        <v>0.0587807952764635</v>
      </c>
      <c r="J1309" t="n">
        <v>0.038919509204982</v>
      </c>
      <c r="K1309" t="n">
        <v>0.3943682384758074</v>
      </c>
      <c r="L1309" t="b">
        <v>0</v>
      </c>
      <c r="M1309" t="b">
        <v>0</v>
      </c>
      <c r="N1309" t="inlineStr">
        <is>
          <t>ref</t>
        </is>
      </c>
      <c r="O1309" t="n">
        <v>-65</v>
      </c>
      <c r="P1309" t="n">
        <v>0.01682</v>
      </c>
      <c r="Q1309" t="n">
        <v>-100</v>
      </c>
      <c r="R1309" t="n">
        <v>0.083</v>
      </c>
      <c r="S1309">
        <f>IMAGE("https://mitra.stanford.edu/kundaje/oak/projects/neuro-variants/variant_position/credible/roussos_2024/variant_figures/roussos_2024.childhood.GLU/rs793571_count_position.png",4,220,900)</f>
        <v/>
      </c>
      <c r="T1309">
        <f>IMAGE("https://mitra.stanford.edu/kundaje/oak/projects/neuro-variants/variant_position/credible/roussos_2024/variant_figures/roussos_2024.childhood.GLU/rs793571_profile_position.png",4,220,900)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-0.00887043694</v>
      </c>
      <c r="G1310" t="n">
        <v>0.7023195182718897</v>
      </c>
      <c r="H1310" t="n">
        <v>0.0080179172539419</v>
      </c>
      <c r="I1310" t="n">
        <v>0.8703421574382006</v>
      </c>
      <c r="J1310" t="n">
        <v>0.0073299885645996</v>
      </c>
      <c r="K1310" t="n">
        <v>0.6279574515425025</v>
      </c>
      <c r="L1310" t="b">
        <v>0</v>
      </c>
      <c r="M1310" t="b">
        <v>0</v>
      </c>
      <c r="N1310" t="inlineStr">
        <is>
          <t>ref</t>
        </is>
      </c>
      <c r="O1310" t="n">
        <v>-35</v>
      </c>
      <c r="P1310" t="n">
        <v>0.02164</v>
      </c>
      <c r="Q1310" t="n">
        <v>100</v>
      </c>
      <c r="R1310" t="n">
        <v>0.04425</v>
      </c>
      <c r="S1310">
        <f>IMAGE("https://mitra.stanford.edu/kundaje/oak/projects/neuro-variants/variant_position/credible/roussos_2024/variant_figures/roussos_2024.childhood.GLU/rs7179456_count_position.png",4,220,900)</f>
        <v/>
      </c>
      <c r="T1310">
        <f>IMAGE("https://mitra.stanford.edu/kundaje/oak/projects/neuro-variants/variant_position/credible/roussos_2024/variant_figures/roussos_2024.childhood.GLU/rs7179456_profile_position.png",4,220,900)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0.0757846256</v>
      </c>
      <c r="G1311" t="n">
        <v>0.08288420692417341</v>
      </c>
      <c r="H1311" t="n">
        <v>0.0442187345133026</v>
      </c>
      <c r="I1311" t="n">
        <v>0.0043737159616576</v>
      </c>
      <c r="J1311" t="n">
        <v>0.3539452131002297</v>
      </c>
      <c r="K1311" t="n">
        <v>0.0781161440665252</v>
      </c>
      <c r="L1311" t="b">
        <v>1</v>
      </c>
      <c r="M1311" t="b">
        <v>1</v>
      </c>
      <c r="N1311" t="inlineStr">
        <is>
          <t>alt</t>
        </is>
      </c>
      <c r="O1311" t="n">
        <v>-60</v>
      </c>
      <c r="P1311" t="n">
        <v>0.02814</v>
      </c>
      <c r="Q1311" t="n">
        <v>-100</v>
      </c>
      <c r="R1311" t="n">
        <v>0.3848</v>
      </c>
      <c r="S1311">
        <f>IMAGE("https://mitra.stanford.edu/kundaje/oak/projects/neuro-variants/variant_position/credible/roussos_2024/variant_figures/roussos_2024.childhood.GLU/rs2270664_count_position.png",4,220,900)</f>
        <v/>
      </c>
      <c r="T1311">
        <f>IMAGE("https://mitra.stanford.edu/kundaje/oak/projects/neuro-variants/variant_position/credible/roussos_2024/variant_figures/roussos_2024.childhood.GLU/rs2270664_profile_position.png",4,220,900)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0.0006174016399999</v>
      </c>
      <c r="G1312" t="n">
        <v>0.7420620732512949</v>
      </c>
      <c r="H1312" t="n">
        <v>0.0190309891308475</v>
      </c>
      <c r="I1312" t="n">
        <v>0.1169049195739749</v>
      </c>
      <c r="J1312" t="n">
        <v>0.0007716319655495</v>
      </c>
      <c r="K1312" t="n">
        <v>0.8467922456403635</v>
      </c>
      <c r="L1312" t="b">
        <v>0</v>
      </c>
      <c r="M1312" t="b">
        <v>0</v>
      </c>
      <c r="N1312" t="inlineStr">
        <is>
          <t>alt</t>
        </is>
      </c>
      <c r="O1312" t="n">
        <v>-100</v>
      </c>
      <c r="P1312" t="n">
        <v>0.00795</v>
      </c>
      <c r="Q1312" t="n">
        <v>100</v>
      </c>
      <c r="R1312" t="n">
        <v>0.0907</v>
      </c>
      <c r="S1312">
        <f>IMAGE("https://mitra.stanford.edu/kundaje/oak/projects/neuro-variants/variant_position/credible/roussos_2024/variant_figures/roussos_2024.childhood.GLU/rs11071400_count_position.png",4,220,900)</f>
        <v/>
      </c>
      <c r="T1312">
        <f>IMAGE("https://mitra.stanford.edu/kundaje/oak/projects/neuro-variants/variant_position/credible/roussos_2024/variant_figures/roussos_2024.childhood.GLU/rs11071400_profile_position.png",4,220,900)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0.0335267011999999</v>
      </c>
      <c r="G1313" t="n">
        <v>0.1998057968453669</v>
      </c>
      <c r="H1313" t="n">
        <v>0.0190801415276731</v>
      </c>
      <c r="I1313" t="n">
        <v>0.121916336100032</v>
      </c>
      <c r="J1313" t="n">
        <v>0.0316317595063203</v>
      </c>
      <c r="K1313" t="n">
        <v>0.4246199412254117</v>
      </c>
      <c r="L1313" t="b">
        <v>0</v>
      </c>
      <c r="M1313" t="b">
        <v>0</v>
      </c>
      <c r="N1313" t="inlineStr">
        <is>
          <t>alt</t>
        </is>
      </c>
      <c r="O1313" t="n">
        <v>-90</v>
      </c>
      <c r="P1313" t="n">
        <v>0.0468</v>
      </c>
      <c r="Q1313" t="n">
        <v>-65</v>
      </c>
      <c r="R1313" t="n">
        <v>0.0664</v>
      </c>
      <c r="S1313">
        <f>IMAGE("https://mitra.stanford.edu/kundaje/oak/projects/neuro-variants/variant_position/credible/roussos_2024/variant_figures/roussos_2024.childhood.GLU/rs11857223_count_position.png",4,220,900)</f>
        <v/>
      </c>
      <c r="T1313">
        <f>IMAGE("https://mitra.stanford.edu/kundaje/oak/projects/neuro-variants/variant_position/credible/roussos_2024/variant_figures/roussos_2024.childhood.GLU/rs11857223_profile_position.png",4,220,900)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-0.0036689121199999</v>
      </c>
      <c r="G1314" t="n">
        <v>0.7024499936934441</v>
      </c>
      <c r="H1314" t="n">
        <v>0.0082936473627028</v>
      </c>
      <c r="I1314" t="n">
        <v>0.7971185419887159</v>
      </c>
      <c r="J1314" t="n">
        <v>0.023418875621993</v>
      </c>
      <c r="K1314" t="n">
        <v>0.466706520017069</v>
      </c>
      <c r="L1314" t="b">
        <v>0</v>
      </c>
      <c r="M1314" t="b">
        <v>0</v>
      </c>
      <c r="N1314" t="inlineStr">
        <is>
          <t>ref</t>
        </is>
      </c>
      <c r="O1314" t="n">
        <v>-100</v>
      </c>
      <c r="P1314" t="n">
        <v>0.01274</v>
      </c>
      <c r="Q1314" t="n">
        <v>5</v>
      </c>
      <c r="R1314" t="n">
        <v>0.01614</v>
      </c>
      <c r="S1314">
        <f>IMAGE("https://mitra.stanford.edu/kundaje/oak/projects/neuro-variants/variant_position/credible/roussos_2024/variant_figures/roussos_2024.childhood.GLU/rs4774315_count_position.png",4,220,900)</f>
        <v/>
      </c>
      <c r="T1314">
        <f>IMAGE("https://mitra.stanford.edu/kundaje/oak/projects/neuro-variants/variant_position/credible/roussos_2024/variant_figures/roussos_2024.childhood.GLU/rs4774315_profile_position.png",4,220,900)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0.0281848494</v>
      </c>
      <c r="G1315" t="n">
        <v>0.3483982137777147</v>
      </c>
      <c r="H1315" t="n">
        <v>0.0124056742162913</v>
      </c>
      <c r="I1315" t="n">
        <v>0.4216710734897275</v>
      </c>
      <c r="J1315" t="n">
        <v>0.0050583617501313</v>
      </c>
      <c r="K1315" t="n">
        <v>0.670657431223195</v>
      </c>
      <c r="L1315" t="b">
        <v>0</v>
      </c>
      <c r="M1315" t="b">
        <v>0</v>
      </c>
      <c r="N1315" t="inlineStr">
        <is>
          <t>alt</t>
        </is>
      </c>
      <c r="O1315" t="n">
        <v>85</v>
      </c>
      <c r="P1315" t="n">
        <v>0.004944</v>
      </c>
      <c r="Q1315" t="n">
        <v>65</v>
      </c>
      <c r="R1315" t="n">
        <v>0.2369</v>
      </c>
      <c r="S1315">
        <f>IMAGE("https://mitra.stanford.edu/kundaje/oak/projects/neuro-variants/variant_position/credible/roussos_2024/variant_figures/roussos_2024.childhood.GLU/rs4775106_count_position.png",4,220,900)</f>
        <v/>
      </c>
      <c r="T1315">
        <f>IMAGE("https://mitra.stanford.edu/kundaje/oak/projects/neuro-variants/variant_position/credible/roussos_2024/variant_figures/roussos_2024.childhood.GLU/rs4775106_profile_position.png",4,220,900)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0.08142532</v>
      </c>
      <c r="G1316" t="n">
        <v>0.06778732311075231</v>
      </c>
      <c r="H1316" t="n">
        <v>0.0267452884194131</v>
      </c>
      <c r="I1316" t="n">
        <v>0.033161256363197</v>
      </c>
      <c r="J1316" t="n">
        <v>0.0326290088289531</v>
      </c>
      <c r="K1316" t="n">
        <v>0.4391558293758165</v>
      </c>
      <c r="L1316" t="b">
        <v>0</v>
      </c>
      <c r="M1316" t="b">
        <v>0</v>
      </c>
      <c r="N1316" t="inlineStr">
        <is>
          <t>alt</t>
        </is>
      </c>
      <c r="O1316" t="n">
        <v>-75</v>
      </c>
      <c r="P1316" t="n">
        <v>0.005295</v>
      </c>
      <c r="Q1316" t="n">
        <v>25</v>
      </c>
      <c r="R1316" t="n">
        <v>0.02206</v>
      </c>
      <c r="S1316">
        <f>IMAGE("https://mitra.stanford.edu/kundaje/oak/projects/neuro-variants/variant_position/credible/roussos_2024/variant_figures/roussos_2024.childhood.GLU/rs8042896_count_position.png",4,220,900)</f>
        <v/>
      </c>
      <c r="T1316">
        <f>IMAGE("https://mitra.stanford.edu/kundaje/oak/projects/neuro-variants/variant_position/credible/roussos_2024/variant_figures/roussos_2024.childhood.GLU/rs8042896_profile_position.png",4,220,900)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0.030305969</v>
      </c>
      <c r="G1317" t="n">
        <v>0.3225656318824844</v>
      </c>
      <c r="H1317" t="n">
        <v>0.0420978925846167</v>
      </c>
      <c r="I1317" t="n">
        <v>0.0054642856141009</v>
      </c>
      <c r="J1317" t="n">
        <v>0.040036263611732</v>
      </c>
      <c r="K1317" t="n">
        <v>0.3916539116019528</v>
      </c>
      <c r="L1317" t="b">
        <v>1</v>
      </c>
      <c r="M1317" t="b">
        <v>0</v>
      </c>
      <c r="N1317" t="inlineStr">
        <is>
          <t>alt</t>
        </is>
      </c>
      <c r="O1317" t="n">
        <v>35</v>
      </c>
      <c r="P1317" t="n">
        <v>0.003906</v>
      </c>
      <c r="Q1317" t="n">
        <v>100</v>
      </c>
      <c r="R1317" t="n">
        <v>0.1837</v>
      </c>
      <c r="S1317">
        <f>IMAGE("https://mitra.stanford.edu/kundaje/oak/projects/neuro-variants/variant_position/credible/roussos_2024/variant_figures/roussos_2024.childhood.GLU/rs78352043_count_position.png",4,220,900)</f>
        <v/>
      </c>
      <c r="T1317">
        <f>IMAGE("https://mitra.stanford.edu/kundaje/oak/projects/neuro-variants/variant_position/credible/roussos_2024/variant_figures/roussos_2024.childhood.GLU/rs78352043_profile_position.png",4,220,900)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0.14231725</v>
      </c>
      <c r="G1318" t="n">
        <v>0.0209621627824158</v>
      </c>
      <c r="H1318" t="n">
        <v>0.0247373465053903</v>
      </c>
      <c r="I1318" t="n">
        <v>0.0512020975006721</v>
      </c>
      <c r="J1318" t="n">
        <v>0.0291561498758588</v>
      </c>
      <c r="K1318" t="n">
        <v>0.4547731097850029</v>
      </c>
      <c r="L1318" t="b">
        <v>0</v>
      </c>
      <c r="M1318" t="b">
        <v>0</v>
      </c>
      <c r="N1318" t="inlineStr">
        <is>
          <t>alt</t>
        </is>
      </c>
      <c r="O1318" t="n">
        <v>70</v>
      </c>
      <c r="P1318" t="n">
        <v>0.010574</v>
      </c>
      <c r="Q1318" t="n">
        <v>70</v>
      </c>
      <c r="R1318" t="n">
        <v>0.2397</v>
      </c>
      <c r="S1318">
        <f>IMAGE("https://mitra.stanford.edu/kundaje/oak/projects/neuro-variants/variant_position/credible/roussos_2024/variant_figures/roussos_2024.childhood.GLU/rs11633501_count_position.png",4,220,900)</f>
        <v/>
      </c>
      <c r="T1318">
        <f>IMAGE("https://mitra.stanford.edu/kundaje/oak/projects/neuro-variants/variant_position/credible/roussos_2024/variant_figures/roussos_2024.childhood.GLU/rs11633501_profile_position.png",4,220,900)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-0.0561162706</v>
      </c>
      <c r="G1319" t="n">
        <v>0.1582453901519075</v>
      </c>
      <c r="H1319" t="n">
        <v>0.0092723712168314</v>
      </c>
      <c r="I1319" t="n">
        <v>0.7433844638766214</v>
      </c>
      <c r="J1319" t="n">
        <v>0.09508277787507589</v>
      </c>
      <c r="K1319" t="n">
        <v>0.2602356882970391</v>
      </c>
      <c r="L1319" t="b">
        <v>0</v>
      </c>
      <c r="M1319" t="b">
        <v>0</v>
      </c>
      <c r="N1319" t="inlineStr">
        <is>
          <t>ref</t>
        </is>
      </c>
      <c r="O1319" t="n">
        <v>55</v>
      </c>
      <c r="P1319" t="n">
        <v>0.006187</v>
      </c>
      <c r="Q1319" t="n">
        <v>-55</v>
      </c>
      <c r="R1319" t="n">
        <v>0.01367</v>
      </c>
      <c r="S1319">
        <f>IMAGE("https://mitra.stanford.edu/kundaje/oak/projects/neuro-variants/variant_position/credible/roussos_2024/variant_figures/roussos_2024.childhood.GLU/rs4635285_count_position.png",4,220,900)</f>
        <v/>
      </c>
      <c r="T1319">
        <f>IMAGE("https://mitra.stanford.edu/kundaje/oak/projects/neuro-variants/variant_position/credible/roussos_2024/variant_figures/roussos_2024.childhood.GLU/rs4635285_profile_position.png",4,220,900)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0.151836364</v>
      </c>
      <c r="G1320" t="n">
        <v>0.0155309011295617</v>
      </c>
      <c r="H1320" t="n">
        <v>0.0326432763732998</v>
      </c>
      <c r="I1320" t="n">
        <v>0.015391203385209</v>
      </c>
      <c r="J1320" t="n">
        <v>0.2159755632707304</v>
      </c>
      <c r="K1320" t="n">
        <v>0.1374967993316736</v>
      </c>
      <c r="L1320" t="b">
        <v>1</v>
      </c>
      <c r="M1320" t="b">
        <v>0</v>
      </c>
      <c r="N1320" t="inlineStr">
        <is>
          <t>alt</t>
        </is>
      </c>
      <c r="O1320" t="n">
        <v>45</v>
      </c>
      <c r="P1320" t="n">
        <v>0.003357</v>
      </c>
      <c r="Q1320" t="n">
        <v>-35</v>
      </c>
      <c r="R1320" t="n">
        <v>0.02686</v>
      </c>
      <c r="S1320">
        <f>IMAGE("https://mitra.stanford.edu/kundaje/oak/projects/neuro-variants/variant_position/credible/roussos_2024/variant_figures/roussos_2024.childhood.GLU/rs55835773_count_position.png",4,220,900)</f>
        <v/>
      </c>
      <c r="T1320">
        <f>IMAGE("https://mitra.stanford.edu/kundaje/oak/projects/neuro-variants/variant_position/credible/roussos_2024/variant_figures/roussos_2024.childhood.GLU/rs55835773_profile_position.png",4,220,900)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-0.0155592730999999</v>
      </c>
      <c r="G1321" t="n">
        <v>0.13299220583708</v>
      </c>
      <c r="H1321" t="n">
        <v>0.0207673766949081</v>
      </c>
      <c r="I1321" t="n">
        <v>0.09209648097953679</v>
      </c>
      <c r="J1321" t="n">
        <v>0.1638455911895906</v>
      </c>
      <c r="K1321" t="n">
        <v>0.1742363666643644</v>
      </c>
      <c r="L1321" t="b">
        <v>0</v>
      </c>
      <c r="M1321" t="b">
        <v>0</v>
      </c>
      <c r="N1321" t="inlineStr">
        <is>
          <t>ref</t>
        </is>
      </c>
      <c r="O1321" t="n">
        <v>35</v>
      </c>
      <c r="P1321" t="n">
        <v>0.002594</v>
      </c>
      <c r="Q1321" t="n">
        <v>-50</v>
      </c>
      <c r="R1321" t="n">
        <v>0.01807</v>
      </c>
      <c r="S1321">
        <f>IMAGE("https://mitra.stanford.edu/kundaje/oak/projects/neuro-variants/variant_position/credible/roussos_2024/variant_figures/roussos_2024.childhood.GLU/rs55835940_count_position.png",4,220,900)</f>
        <v/>
      </c>
      <c r="T1321">
        <f>IMAGE("https://mitra.stanford.edu/kundaje/oak/projects/neuro-variants/variant_position/credible/roussos_2024/variant_figures/roussos_2024.childhood.GLU/rs55835940_profile_position.png",4,220,900)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-0.0321062742</v>
      </c>
      <c r="G1322" t="n">
        <v>0.3355158216792918</v>
      </c>
      <c r="H1322" t="n">
        <v>0.0143533791165078</v>
      </c>
      <c r="I1322" t="n">
        <v>0.2955498970154916</v>
      </c>
      <c r="J1322" t="n">
        <v>0.3333923990645636</v>
      </c>
      <c r="K1322" t="n">
        <v>0.0848809314393125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0.0169</v>
      </c>
      <c r="Q1322" t="n">
        <v>100</v>
      </c>
      <c r="R1322" t="n">
        <v>0.2812</v>
      </c>
      <c r="S1322">
        <f>IMAGE("https://mitra.stanford.edu/kundaje/oak/projects/neuro-variants/variant_position/credible/roussos_2024/variant_figures/roussos_2024.childhood.GLU/rs7169676_count_position.png",4,220,900)</f>
        <v/>
      </c>
      <c r="T1322">
        <f>IMAGE("https://mitra.stanford.edu/kundaje/oak/projects/neuro-variants/variant_position/credible/roussos_2024/variant_figures/roussos_2024.childhood.GLU/rs7169676_profile_position.png",4,220,900)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0.264979594</v>
      </c>
      <c r="G1323" t="n">
        <v>0.0033368175658119</v>
      </c>
      <c r="H1323" t="n">
        <v>0.0362685700310961</v>
      </c>
      <c r="I1323" t="n">
        <v>0.0118970958398915</v>
      </c>
      <c r="J1323" t="n">
        <v>0.0063234672957853</v>
      </c>
      <c r="K1323" t="n">
        <v>0.6521230825969113</v>
      </c>
      <c r="L1323" t="b">
        <v>1</v>
      </c>
      <c r="M1323" t="b">
        <v>1</v>
      </c>
      <c r="N1323" t="inlineStr">
        <is>
          <t>alt</t>
        </is>
      </c>
      <c r="O1323" t="n">
        <v>-90</v>
      </c>
      <c r="P1323" t="n">
        <v>0.001905</v>
      </c>
      <c r="Q1323" t="n">
        <v>-50</v>
      </c>
      <c r="R1323" t="n">
        <v>0.11475</v>
      </c>
      <c r="S1323">
        <f>IMAGE("https://mitra.stanford.edu/kundaje/oak/projects/neuro-variants/variant_position/credible/roussos_2024/variant_figures/roussos_2024.childhood.GLU/rs28620094_count_position.png",4,220,900)</f>
        <v/>
      </c>
      <c r="T1323">
        <f>IMAGE("https://mitra.stanford.edu/kundaje/oak/projects/neuro-variants/variant_position/credible/roussos_2024/variant_figures/roussos_2024.childhood.GLU/rs28620094_profile_position.png",4,220,900)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-0.0352363666</v>
      </c>
      <c r="G1324" t="n">
        <v>0.2960626536233388</v>
      </c>
      <c r="H1324" t="n">
        <v>0.0112427802406513</v>
      </c>
      <c r="I1324" t="n">
        <v>0.5092473363681586</v>
      </c>
      <c r="J1324" t="n">
        <v>0.0133114240679118</v>
      </c>
      <c r="K1324" t="n">
        <v>0.5631565681518959</v>
      </c>
      <c r="L1324" t="b">
        <v>0</v>
      </c>
      <c r="M1324" t="b">
        <v>0</v>
      </c>
      <c r="N1324" t="inlineStr">
        <is>
          <t>ref</t>
        </is>
      </c>
      <c r="O1324" t="n">
        <v>40</v>
      </c>
      <c r="P1324" t="n">
        <v>0.003162</v>
      </c>
      <c r="Q1324" t="n">
        <v>-90</v>
      </c>
      <c r="R1324" t="n">
        <v>0.1696</v>
      </c>
      <c r="S1324">
        <f>IMAGE("https://mitra.stanford.edu/kundaje/oak/projects/neuro-variants/variant_position/credible/roussos_2024/variant_figures/roussos_2024.childhood.GLU/rs1971791_count_position.png",4,220,900)</f>
        <v/>
      </c>
      <c r="T1324">
        <f>IMAGE("https://mitra.stanford.edu/kundaje/oak/projects/neuro-variants/variant_position/credible/roussos_2024/variant_figures/roussos_2024.childhood.GLU/rs1971791_profile_position.png",4,220,900)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0.0608122995999999</v>
      </c>
      <c r="G1325" t="n">
        <v>0.1276556723360304</v>
      </c>
      <c r="H1325" t="n">
        <v>0.0149723862344045</v>
      </c>
      <c r="I1325" t="n">
        <v>0.2483449419792114</v>
      </c>
      <c r="J1325" t="n">
        <v>0.1811336499531251</v>
      </c>
      <c r="K1325" t="n">
        <v>0.1604556623562973</v>
      </c>
      <c r="L1325" t="b">
        <v>0</v>
      </c>
      <c r="M1325" t="b">
        <v>0</v>
      </c>
      <c r="N1325" t="inlineStr">
        <is>
          <t>alt</t>
        </is>
      </c>
      <c r="O1325" t="n">
        <v>-75</v>
      </c>
      <c r="P1325" t="n">
        <v>0.002493</v>
      </c>
      <c r="Q1325" t="n">
        <v>10</v>
      </c>
      <c r="R1325" t="n">
        <v>0.02405</v>
      </c>
      <c r="S1325">
        <f>IMAGE("https://mitra.stanford.edu/kundaje/oak/projects/neuro-variants/variant_position/credible/roussos_2024/variant_figures/roussos_2024.childhood.GLU/rs2415092_count_position.png",4,220,900)</f>
        <v/>
      </c>
      <c r="T1325">
        <f>IMAGE("https://mitra.stanford.edu/kundaje/oak/projects/neuro-variants/variant_position/credible/roussos_2024/variant_figures/roussos_2024.childhood.GLU/rs2415092_profile_position.png",4,220,900)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0.0327344706</v>
      </c>
      <c r="G1326" t="n">
        <v>0.2941635152532806</v>
      </c>
      <c r="H1326" t="n">
        <v>0.0102063351460854</v>
      </c>
      <c r="I1326" t="n">
        <v>0.6174715724840709</v>
      </c>
      <c r="J1326" t="n">
        <v>0.0249858345266671</v>
      </c>
      <c r="K1326" t="n">
        <v>0.4550229697596781</v>
      </c>
      <c r="L1326" t="b">
        <v>0</v>
      </c>
      <c r="M1326" t="b">
        <v>0</v>
      </c>
      <c r="N1326" t="inlineStr">
        <is>
          <t>alt</t>
        </is>
      </c>
      <c r="O1326" t="n">
        <v>-55</v>
      </c>
      <c r="P1326" t="n">
        <v>0.01611</v>
      </c>
      <c r="Q1326" t="n">
        <v>60</v>
      </c>
      <c r="R1326" t="n">
        <v>0.04242</v>
      </c>
      <c r="S1326">
        <f>IMAGE("https://mitra.stanford.edu/kundaje/oak/projects/neuro-variants/variant_position/credible/roussos_2024/variant_figures/roussos_2024.childhood.GLU/rs2915695_count_position.png",4,220,900)</f>
        <v/>
      </c>
      <c r="T1326">
        <f>IMAGE("https://mitra.stanford.edu/kundaje/oak/projects/neuro-variants/variant_position/credible/roussos_2024/variant_figures/roussos_2024.childhood.GLU/rs2915695_profile_position.png",4,220,900)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0.0398568714</v>
      </c>
      <c r="G1327" t="n">
        <v>0.240196853923922</v>
      </c>
      <c r="H1327" t="n">
        <v>0.0107562620811075</v>
      </c>
      <c r="I1327" t="n">
        <v>0.5730307467286634</v>
      </c>
      <c r="J1327" t="n">
        <v>0.0212203941607342</v>
      </c>
      <c r="K1327" t="n">
        <v>0.4808331573103985</v>
      </c>
      <c r="L1327" t="b">
        <v>0</v>
      </c>
      <c r="M1327" t="b">
        <v>0</v>
      </c>
      <c r="N1327" t="inlineStr">
        <is>
          <t>alt</t>
        </is>
      </c>
      <c r="O1327" t="n">
        <v>-80</v>
      </c>
      <c r="P1327" t="n">
        <v>0.002108</v>
      </c>
      <c r="Q1327" t="n">
        <v>90</v>
      </c>
      <c r="R1327" t="n">
        <v>0.0385</v>
      </c>
      <c r="S1327">
        <f>IMAGE("https://mitra.stanford.edu/kundaje/oak/projects/neuro-variants/variant_position/credible/roussos_2024/variant_figures/roussos_2024.childhood.GLU/rs667282_count_position.png",4,220,900)</f>
        <v/>
      </c>
      <c r="T1327">
        <f>IMAGE("https://mitra.stanford.edu/kundaje/oak/projects/neuro-variants/variant_position/credible/roussos_2024/variant_figures/roussos_2024.childhood.GLU/rs667282_profile_position.png",4,220,900)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0.042770256</v>
      </c>
      <c r="G1328" t="n">
        <v>0.2160726609360259</v>
      </c>
      <c r="H1328" t="n">
        <v>0.0148489308921315</v>
      </c>
      <c r="I1328" t="n">
        <v>0.2564073229239586</v>
      </c>
      <c r="J1328" t="n">
        <v>0.1743764616192938</v>
      </c>
      <c r="K1328" t="n">
        <v>0.1796065987555418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0.002897</v>
      </c>
      <c r="Q1328" t="n">
        <v>100</v>
      </c>
      <c r="R1328" t="n">
        <v>0.03784</v>
      </c>
      <c r="S1328">
        <f>IMAGE("https://mitra.stanford.edu/kundaje/oak/projects/neuro-variants/variant_position/credible/roussos_2024/variant_figures/roussos_2024.childhood.GLU/rs3743078_count_position.png",4,220,900)</f>
        <v/>
      </c>
      <c r="T1328">
        <f>IMAGE("https://mitra.stanford.edu/kundaje/oak/projects/neuro-variants/variant_position/credible/roussos_2024/variant_figures/roussos_2024.childhood.GLU/rs3743078_profile_position.png",4,220,900)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-0.318719252</v>
      </c>
      <c r="G1329" t="n">
        <v>0.0020030777548605</v>
      </c>
      <c r="H1329" t="n">
        <v>0.0397750994307211</v>
      </c>
      <c r="I1329" t="n">
        <v>0.0083249942557512</v>
      </c>
      <c r="J1329" t="n">
        <v>0.3550877229130394</v>
      </c>
      <c r="K1329" t="n">
        <v>0.0773275786209172</v>
      </c>
      <c r="L1329" t="b">
        <v>1</v>
      </c>
      <c r="M1329" t="b">
        <v>1</v>
      </c>
      <c r="N1329" t="inlineStr">
        <is>
          <t>ref</t>
        </is>
      </c>
      <c r="O1329" t="n">
        <v>95</v>
      </c>
      <c r="P1329" t="n">
        <v>0.01146</v>
      </c>
      <c r="Q1329" t="n">
        <v>-75</v>
      </c>
      <c r="R1329" t="n">
        <v>0.04517</v>
      </c>
      <c r="S1329">
        <f>IMAGE("https://mitra.stanford.edu/kundaje/oak/projects/neuro-variants/variant_position/credible/roussos_2024/variant_figures/roussos_2024.childhood.GLU/rs3825845_count_position.png",4,220,900)</f>
        <v/>
      </c>
      <c r="T1329">
        <f>IMAGE("https://mitra.stanford.edu/kundaje/oak/projects/neuro-variants/variant_position/credible/roussos_2024/variant_figures/roussos_2024.childhood.GLU/rs3825845_profile_position.png",4,220,900)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0.077455288</v>
      </c>
      <c r="G1330" t="n">
        <v>0.0778818023795351</v>
      </c>
      <c r="H1330" t="n">
        <v>0.0113097235807886</v>
      </c>
      <c r="I1330" t="n">
        <v>0.5141683613375795</v>
      </c>
      <c r="J1330" t="n">
        <v>0.4022407203271966</v>
      </c>
      <c r="K1330" t="n">
        <v>0.0637611961468413</v>
      </c>
      <c r="L1330" t="b">
        <v>0</v>
      </c>
      <c r="M1330" t="b">
        <v>0</v>
      </c>
      <c r="N1330" t="inlineStr">
        <is>
          <t>alt</t>
        </is>
      </c>
      <c r="O1330" t="n">
        <v>100</v>
      </c>
      <c r="P1330" t="n">
        <v>0.01468</v>
      </c>
      <c r="Q1330" t="n">
        <v>70</v>
      </c>
      <c r="R1330" t="n">
        <v>0.2485</v>
      </c>
      <c r="S1330">
        <f>IMAGE("https://mitra.stanford.edu/kundaje/oak/projects/neuro-variants/variant_position/credible/roussos_2024/variant_figures/roussos_2024.childhood.GLU/rs698500_count_position.png",4,220,900)</f>
        <v/>
      </c>
      <c r="T1330">
        <f>IMAGE("https://mitra.stanford.edu/kundaje/oak/projects/neuro-variants/variant_position/credible/roussos_2024/variant_figures/roussos_2024.childhood.GLU/rs698500_profile_position.png",4,220,900)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-0.00619786868</v>
      </c>
      <c r="G1331" t="n">
        <v>0.5975925822116773</v>
      </c>
      <c r="H1331" t="n">
        <v>0.0241361369960501</v>
      </c>
      <c r="I1331" t="n">
        <v>0.0502139532785339</v>
      </c>
      <c r="J1331" t="n">
        <v>0.027484108914461</v>
      </c>
      <c r="K1331" t="n">
        <v>0.4461945771728731</v>
      </c>
      <c r="L1331" t="b">
        <v>0</v>
      </c>
      <c r="M1331" t="b">
        <v>0</v>
      </c>
      <c r="N1331" t="inlineStr">
        <is>
          <t>ref</t>
        </is>
      </c>
      <c r="O1331" t="n">
        <v>80</v>
      </c>
      <c r="P1331" t="n">
        <v>0.01657</v>
      </c>
      <c r="Q1331" t="n">
        <v>80</v>
      </c>
      <c r="R1331" t="n">
        <v>0.1555</v>
      </c>
      <c r="S1331">
        <f>IMAGE("https://mitra.stanford.edu/kundaje/oak/projects/neuro-variants/variant_position/credible/roussos_2024/variant_figures/roussos_2024.childhood.GLU/rs2678445_count_position.png",4,220,900)</f>
        <v/>
      </c>
      <c r="T1331">
        <f>IMAGE("https://mitra.stanford.edu/kundaje/oak/projects/neuro-variants/variant_position/credible/roussos_2024/variant_figures/roussos_2024.childhood.GLU/rs2678445_profile_position.png",4,220,900)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0.1703613584</v>
      </c>
      <c r="G1332" t="n">
        <v>0.016078432403439</v>
      </c>
      <c r="H1332" t="n">
        <v>0.0395191759258204</v>
      </c>
      <c r="I1332" t="n">
        <v>0.0076549723431227</v>
      </c>
      <c r="J1332" t="n">
        <v>0.0177310517477618</v>
      </c>
      <c r="K1332" t="n">
        <v>0.5106040111995406</v>
      </c>
      <c r="L1332" t="b">
        <v>1</v>
      </c>
      <c r="M1332" t="b">
        <v>0</v>
      </c>
      <c r="N1332" t="inlineStr">
        <is>
          <t>alt</t>
        </is>
      </c>
      <c r="O1332" t="n">
        <v>20</v>
      </c>
      <c r="P1332" t="n">
        <v>0.00029</v>
      </c>
      <c r="Q1332" t="n">
        <v>-25</v>
      </c>
      <c r="R1332" t="n">
        <v>0.018</v>
      </c>
      <c r="S1332">
        <f>IMAGE("https://mitra.stanford.edu/kundaje/oak/projects/neuro-variants/variant_position/credible/roussos_2024/variant_figures/roussos_2024.childhood.GLU/rs783532_count_position.png",4,220,900)</f>
        <v/>
      </c>
      <c r="T1332">
        <f>IMAGE("https://mitra.stanford.edu/kundaje/oak/projects/neuro-variants/variant_position/credible/roussos_2024/variant_figures/roussos_2024.childhood.GLU/rs783532_profile_position.png",4,220,900)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-0.0166860232</v>
      </c>
      <c r="G1333" t="n">
        <v>0.5172251474142614</v>
      </c>
      <c r="H1333" t="n">
        <v>0.0363362338262987</v>
      </c>
      <c r="I1333" t="n">
        <v>0.0098746469862233</v>
      </c>
      <c r="J1333" t="n">
        <v>0.0083426911308683</v>
      </c>
      <c r="K1333" t="n">
        <v>0.6098344624242203</v>
      </c>
      <c r="L1333" t="b">
        <v>0</v>
      </c>
      <c r="M1333" t="b">
        <v>0</v>
      </c>
      <c r="N1333" t="inlineStr">
        <is>
          <t>ref</t>
        </is>
      </c>
      <c r="O1333" t="n">
        <v>100</v>
      </c>
      <c r="P1333" t="n">
        <v>0.00769</v>
      </c>
      <c r="Q1333" t="n">
        <v>55</v>
      </c>
      <c r="R1333" t="n">
        <v>0.07733</v>
      </c>
      <c r="S1333">
        <f>IMAGE("https://mitra.stanford.edu/kundaje/oak/projects/neuro-variants/variant_position/credible/roussos_2024/variant_figures/roussos_2024.childhood.GLU/rs71412256_count_position.png",4,220,900)</f>
        <v/>
      </c>
      <c r="T1333">
        <f>IMAGE("https://mitra.stanford.edu/kundaje/oak/projects/neuro-variants/variant_position/credible/roussos_2024/variant_figures/roussos_2024.childhood.GLU/rs71412256_profile_position.png",4,220,900)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0.16444348</v>
      </c>
      <c r="G1334" t="n">
        <v>0.0163194610137784</v>
      </c>
      <c r="H1334" t="n">
        <v>0.0352645852474614</v>
      </c>
      <c r="I1334" t="n">
        <v>0.0156290589179819</v>
      </c>
      <c r="J1334" t="n">
        <v>0.0640207279507968</v>
      </c>
      <c r="K1334" t="n">
        <v>0.3095263194355924</v>
      </c>
      <c r="L1334" t="b">
        <v>1</v>
      </c>
      <c r="M1334" t="b">
        <v>0</v>
      </c>
      <c r="N1334" t="inlineStr">
        <is>
          <t>alt</t>
        </is>
      </c>
      <c r="O1334" t="n">
        <v>-45</v>
      </c>
      <c r="P1334" t="n">
        <v>0.003204</v>
      </c>
      <c r="Q1334" t="n">
        <v>95</v>
      </c>
      <c r="R1334" t="n">
        <v>0.0736</v>
      </c>
      <c r="S1334">
        <f>IMAGE("https://mitra.stanford.edu/kundaje/oak/projects/neuro-variants/variant_position/credible/roussos_2024/variant_figures/roussos_2024.childhood.GLU/rs2567635_count_position.png",4,220,900)</f>
        <v/>
      </c>
      <c r="T1334">
        <f>IMAGE("https://mitra.stanford.edu/kundaje/oak/projects/neuro-variants/variant_position/credible/roussos_2024/variant_figures/roussos_2024.childhood.GLU/rs2567635_profile_position.png",4,220,900)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0.080042843</v>
      </c>
      <c r="G1335" t="n">
        <v>0.077056829535708</v>
      </c>
      <c r="H1335" t="n">
        <v>0.0131570819211507</v>
      </c>
      <c r="I1335" t="n">
        <v>0.3541272075429298</v>
      </c>
      <c r="J1335" t="n">
        <v>0.313203251362461</v>
      </c>
      <c r="K1335" t="n">
        <v>0.0915771904567723</v>
      </c>
      <c r="L1335" t="b">
        <v>0</v>
      </c>
      <c r="M1335" t="b">
        <v>0</v>
      </c>
      <c r="N1335" t="inlineStr">
        <is>
          <t>alt</t>
        </is>
      </c>
      <c r="O1335" t="n">
        <v>-95</v>
      </c>
      <c r="P1335" t="n">
        <v>0.0716</v>
      </c>
      <c r="Q1335" t="n">
        <v>40</v>
      </c>
      <c r="R1335" t="n">
        <v>0.0381</v>
      </c>
      <c r="S1335">
        <f>IMAGE("https://mitra.stanford.edu/kundaje/oak/projects/neuro-variants/variant_position/credible/roussos_2024/variant_figures/roussos_2024.childhood.GLU/rs1269134_count_position.png",4,220,900)</f>
        <v/>
      </c>
      <c r="T1335">
        <f>IMAGE("https://mitra.stanford.edu/kundaje/oak/projects/neuro-variants/variant_position/credible/roussos_2024/variant_figures/roussos_2024.childhood.GLU/rs1269134_profile_position.png",4,220,900)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-0.00866728066</v>
      </c>
      <c r="G1336" t="n">
        <v>0.7109714014700672</v>
      </c>
      <c r="H1336" t="n">
        <v>0.0349784076305556</v>
      </c>
      <c r="I1336" t="n">
        <v>0.0115772327296801</v>
      </c>
      <c r="J1336" t="n">
        <v>0.0068622703905549</v>
      </c>
      <c r="K1336" t="n">
        <v>0.633443496981574</v>
      </c>
      <c r="L1336" t="b">
        <v>0</v>
      </c>
      <c r="M1336" t="b">
        <v>0</v>
      </c>
      <c r="N1336" t="inlineStr">
        <is>
          <t>ref</t>
        </is>
      </c>
      <c r="O1336" t="n">
        <v>-100</v>
      </c>
      <c r="P1336" t="n">
        <v>0.01804</v>
      </c>
      <c r="Q1336" t="n">
        <v>-100</v>
      </c>
      <c r="R1336" t="n">
        <v>0.04865</v>
      </c>
      <c r="S1336">
        <f>IMAGE("https://mitra.stanford.edu/kundaje/oak/projects/neuro-variants/variant_position/credible/roussos_2024/variant_figures/roussos_2024.childhood.GLU/rs28374463_count_position.png",4,220,900)</f>
        <v/>
      </c>
      <c r="T1336">
        <f>IMAGE("https://mitra.stanford.edu/kundaje/oak/projects/neuro-variants/variant_position/credible/roussos_2024/variant_figures/roussos_2024.childhood.GLU/rs28374463_profile_position.png",4,220,900)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-0.08605393980000001</v>
      </c>
      <c r="G1337" t="n">
        <v>0.06496408912715081</v>
      </c>
      <c r="H1337" t="n">
        <v>0.0193346733455969</v>
      </c>
      <c r="I1337" t="n">
        <v>0.1135270920203813</v>
      </c>
      <c r="J1337" t="n">
        <v>0.3421451162599029</v>
      </c>
      <c r="K1337" t="n">
        <v>0.0817284906411561</v>
      </c>
      <c r="L1337" t="b">
        <v>0</v>
      </c>
      <c r="M1337" t="b">
        <v>0</v>
      </c>
      <c r="N1337" t="inlineStr">
        <is>
          <t>ref</t>
        </is>
      </c>
      <c r="O1337" t="n">
        <v>-100</v>
      </c>
      <c r="P1337" t="n">
        <v>0.05798</v>
      </c>
      <c r="Q1337" t="n">
        <v>65</v>
      </c>
      <c r="R1337" t="n">
        <v>0.05817</v>
      </c>
      <c r="S1337">
        <f>IMAGE("https://mitra.stanford.edu/kundaje/oak/projects/neuro-variants/variant_position/credible/roussos_2024/variant_figures/roussos_2024.childhood.GLU/rs10906984_count_position.png",4,220,900)</f>
        <v/>
      </c>
      <c r="T1337">
        <f>IMAGE("https://mitra.stanford.edu/kundaje/oak/projects/neuro-variants/variant_position/credible/roussos_2024/variant_figures/roussos_2024.childhood.GLU/rs10906984_profile_position.png",4,220,900)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0.0196453154399999</v>
      </c>
      <c r="G1338" t="n">
        <v>0.4558361004324416</v>
      </c>
      <c r="H1338" t="n">
        <v>0.0211318254375557</v>
      </c>
      <c r="I1338" t="n">
        <v>0.0823729398740938</v>
      </c>
      <c r="J1338" t="n">
        <v>0.4649386506227657</v>
      </c>
      <c r="K1338" t="n">
        <v>0.0490007170244313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0.014145</v>
      </c>
      <c r="Q1338" t="n">
        <v>100</v>
      </c>
      <c r="R1338" t="n">
        <v>0.2344</v>
      </c>
      <c r="S1338">
        <f>IMAGE("https://mitra.stanford.edu/kundaje/oak/projects/neuro-variants/variant_position/credible/roussos_2024/variant_figures/roussos_2024.childhood.GLU/rs9652567_count_position.png",4,220,900)</f>
        <v/>
      </c>
      <c r="T1338">
        <f>IMAGE("https://mitra.stanford.edu/kundaje/oak/projects/neuro-variants/variant_position/credible/roussos_2024/variant_figures/roussos_2024.childhood.GLU/rs9652567_profile_position.png",4,220,900)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0.0462336609999999</v>
      </c>
      <c r="G1339" t="n">
        <v>0.1885379072157662</v>
      </c>
      <c r="H1339" t="n">
        <v>0.0085051406917956</v>
      </c>
      <c r="I1339" t="n">
        <v>0.8324807479293964</v>
      </c>
      <c r="J1339" t="n">
        <v>0.2127283216747194</v>
      </c>
      <c r="K1339" t="n">
        <v>0.1401448638109701</v>
      </c>
      <c r="L1339" t="b">
        <v>0</v>
      </c>
      <c r="M1339" t="b">
        <v>0</v>
      </c>
      <c r="N1339" t="inlineStr">
        <is>
          <t>alt</t>
        </is>
      </c>
      <c r="O1339" t="n">
        <v>55</v>
      </c>
      <c r="P1339" t="n">
        <v>0.01605</v>
      </c>
      <c r="Q1339" t="n">
        <v>100</v>
      </c>
      <c r="R1339" t="n">
        <v>0.2288</v>
      </c>
      <c r="S1339">
        <f>IMAGE("https://mitra.stanford.edu/kundaje/oak/projects/neuro-variants/variant_position/credible/roussos_2024/variant_figures/roussos_2024.childhood.GLU/rs4779054_count_position.png",4,220,900)</f>
        <v/>
      </c>
      <c r="T1339">
        <f>IMAGE("https://mitra.stanford.edu/kundaje/oak/projects/neuro-variants/variant_position/credible/roussos_2024/variant_figures/roussos_2024.childhood.GLU/rs4779054_profile_position.png",4,220,900)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-0.0378346827999999</v>
      </c>
      <c r="G1340" t="n">
        <v>0.1506695691720841</v>
      </c>
      <c r="H1340" t="n">
        <v>0.0199052405128343</v>
      </c>
      <c r="I1340" t="n">
        <v>0.118190466706747</v>
      </c>
      <c r="J1340" t="n">
        <v>0.0095233189446464</v>
      </c>
      <c r="K1340" t="n">
        <v>0.5894771387401503</v>
      </c>
      <c r="L1340" t="b">
        <v>0</v>
      </c>
      <c r="M1340" t="b">
        <v>0</v>
      </c>
      <c r="N1340" t="inlineStr">
        <is>
          <t>ref</t>
        </is>
      </c>
      <c r="O1340" t="n">
        <v>100</v>
      </c>
      <c r="P1340" t="n">
        <v>0.00606</v>
      </c>
      <c r="Q1340" t="n">
        <v>-75</v>
      </c>
      <c r="R1340" t="n">
        <v>0.05963</v>
      </c>
      <c r="S1340">
        <f>IMAGE("https://mitra.stanford.edu/kundaje/oak/projects/neuro-variants/variant_position/credible/roussos_2024/variant_figures/roussos_2024.childhood.GLU/rs34921234_count_position.png",4,220,900)</f>
        <v/>
      </c>
      <c r="T1340">
        <f>IMAGE("https://mitra.stanford.edu/kundaje/oak/projects/neuro-variants/variant_position/credible/roussos_2024/variant_figures/roussos_2024.childhood.GLU/rs34921234_profile_position.png",4,220,900)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0.35827057</v>
      </c>
      <c r="G1341" t="n">
        <v>0.001095932672614</v>
      </c>
      <c r="H1341" t="n">
        <v>0.0610049914037706</v>
      </c>
      <c r="I1341" t="n">
        <v>0.0013369515770869</v>
      </c>
      <c r="J1341" t="n">
        <v>0.0360719915110181</v>
      </c>
      <c r="K1341" t="n">
        <v>0.3986886620590773</v>
      </c>
      <c r="L1341" t="b">
        <v>1</v>
      </c>
      <c r="M1341" t="b">
        <v>1</v>
      </c>
      <c r="N1341" t="inlineStr">
        <is>
          <t>alt</t>
        </is>
      </c>
      <c r="O1341" t="n">
        <v>85</v>
      </c>
      <c r="P1341" t="n">
        <v>0.00743</v>
      </c>
      <c r="Q1341" t="n">
        <v>-75</v>
      </c>
      <c r="R1341" t="n">
        <v>0.1111</v>
      </c>
      <c r="S1341">
        <f>IMAGE("https://mitra.stanford.edu/kundaje/oak/projects/neuro-variants/variant_position/credible/roussos_2024/variant_figures/roussos_2024.childhood.GLU/rs12902973_count_position.png",4,220,900)</f>
        <v/>
      </c>
      <c r="T1341">
        <f>IMAGE("https://mitra.stanford.edu/kundaje/oak/projects/neuro-variants/variant_position/credible/roussos_2024/variant_figures/roussos_2024.childhood.GLU/rs12902973_profile_position.png",4,220,900)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0.01854683694</v>
      </c>
      <c r="G1342" t="n">
        <v>0.5064106971843464</v>
      </c>
      <c r="H1342" t="n">
        <v>0.0139868828883</v>
      </c>
      <c r="I1342" t="n">
        <v>0.300385880336249</v>
      </c>
      <c r="J1342" t="n">
        <v>0.0819238258110376</v>
      </c>
      <c r="K1342" t="n">
        <v>0.2778973886784826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0.01915</v>
      </c>
      <c r="Q1342" t="n">
        <v>-75</v>
      </c>
      <c r="R1342" t="n">
        <v>0.2325</v>
      </c>
      <c r="S1342">
        <f>IMAGE("https://mitra.stanford.edu/kundaje/oak/projects/neuro-variants/variant_position/credible/roussos_2024/variant_figures/roussos_2024.childhood.GLU/rs34973912_count_position.png",4,220,900)</f>
        <v/>
      </c>
      <c r="T1342">
        <f>IMAGE("https://mitra.stanford.edu/kundaje/oak/projects/neuro-variants/variant_position/credible/roussos_2024/variant_figures/roussos_2024.childhood.GLU/rs34973912_profile_position.png",4,220,900)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0.0150581289999999</v>
      </c>
      <c r="G1343" t="n">
        <v>0.5370171104510737</v>
      </c>
      <c r="H1343" t="n">
        <v>0.009524653364478001</v>
      </c>
      <c r="I1343" t="n">
        <v>0.6979311390183127</v>
      </c>
      <c r="J1343" t="n">
        <v>0.5025982053633058</v>
      </c>
      <c r="K1343" t="n">
        <v>0.0412042850200915</v>
      </c>
      <c r="L1343" t="b">
        <v>0</v>
      </c>
      <c r="M1343" t="b">
        <v>0</v>
      </c>
      <c r="N1343" t="inlineStr">
        <is>
          <t>alt</t>
        </is>
      </c>
      <c r="O1343" t="n">
        <v>100</v>
      </c>
      <c r="P1343" t="n">
        <v>0.00659</v>
      </c>
      <c r="Q1343" t="n">
        <v>-100</v>
      </c>
      <c r="R1343" t="n">
        <v>0.2079</v>
      </c>
      <c r="S1343">
        <f>IMAGE("https://mitra.stanford.edu/kundaje/oak/projects/neuro-variants/variant_position/credible/roussos_2024/variant_figures/roussos_2024.childhood.GLU/rs36126054_count_position.png",4,220,900)</f>
        <v/>
      </c>
      <c r="T1343">
        <f>IMAGE("https://mitra.stanford.edu/kundaje/oak/projects/neuro-variants/variant_position/credible/roussos_2024/variant_figures/roussos_2024.childhood.GLU/rs36126054_profile_position.png",4,220,900)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-0.0732602366</v>
      </c>
      <c r="G1344" t="n">
        <v>0.1028575358360335</v>
      </c>
      <c r="H1344" t="n">
        <v>0.0194002915770848</v>
      </c>
      <c r="I1344" t="n">
        <v>0.113120706575726</v>
      </c>
      <c r="J1344" t="n">
        <v>0.009708757868276499</v>
      </c>
      <c r="K1344" t="n">
        <v>0.5904932102302897</v>
      </c>
      <c r="L1344" t="b">
        <v>0</v>
      </c>
      <c r="M1344" t="b">
        <v>0</v>
      </c>
      <c r="N1344" t="inlineStr">
        <is>
          <t>ref</t>
        </is>
      </c>
      <c r="O1344" t="n">
        <v>-100</v>
      </c>
      <c r="P1344" t="n">
        <v>0.00747</v>
      </c>
      <c r="Q1344" t="n">
        <v>45</v>
      </c>
      <c r="R1344" t="n">
        <v>0.04034</v>
      </c>
      <c r="S1344">
        <f>IMAGE("https://mitra.stanford.edu/kundaje/oak/projects/neuro-variants/variant_position/credible/roussos_2024/variant_figures/roussos_2024.childhood.GLU/rs12899981_count_position.png",4,220,900)</f>
        <v/>
      </c>
      <c r="T1344">
        <f>IMAGE("https://mitra.stanford.edu/kundaje/oak/projects/neuro-variants/variant_position/credible/roussos_2024/variant_figures/roussos_2024.childhood.GLU/rs12899981_profile_position.png",4,220,900)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-0.0344297118</v>
      </c>
      <c r="G1345" t="n">
        <v>0.2937473229211385</v>
      </c>
      <c r="H1345" t="n">
        <v>0.0253091555410512</v>
      </c>
      <c r="I1345" t="n">
        <v>0.0413704394028294</v>
      </c>
      <c r="J1345" t="n">
        <v>0.9351334645142017</v>
      </c>
      <c r="K1345" t="n">
        <v>0.0008127941628869</v>
      </c>
      <c r="L1345" t="b">
        <v>0</v>
      </c>
      <c r="M1345" t="b">
        <v>0</v>
      </c>
      <c r="N1345" t="inlineStr">
        <is>
          <t>ref</t>
        </is>
      </c>
      <c r="O1345" t="n">
        <v>85</v>
      </c>
      <c r="P1345" t="n">
        <v>0.06152</v>
      </c>
      <c r="Q1345" t="n">
        <v>75</v>
      </c>
      <c r="R1345" t="n">
        <v>0.5073</v>
      </c>
      <c r="S1345">
        <f>IMAGE("https://mitra.stanford.edu/kundaje/oak/projects/neuro-variants/variant_position/credible/roussos_2024/variant_figures/roussos_2024.childhood.GLU/rs7178152_count_position.png",4,220,900)</f>
        <v/>
      </c>
      <c r="T1345">
        <f>IMAGE("https://mitra.stanford.edu/kundaje/oak/projects/neuro-variants/variant_position/credible/roussos_2024/variant_figures/roussos_2024.childhood.GLU/rs7178152_profile_position.png",4,220,900)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0.115818881</v>
      </c>
      <c r="G1346" t="n">
        <v>0.0307017497677852</v>
      </c>
      <c r="H1346" t="n">
        <v>0.0137076212054476</v>
      </c>
      <c r="I1346" t="n">
        <v>0.3217683384149353</v>
      </c>
      <c r="J1346" t="n">
        <v>0.00348831219673</v>
      </c>
      <c r="K1346" t="n">
        <v>0.7232377000788562</v>
      </c>
      <c r="L1346" t="b">
        <v>0</v>
      </c>
      <c r="M1346" t="b">
        <v>0</v>
      </c>
      <c r="N1346" t="inlineStr">
        <is>
          <t>alt</t>
        </is>
      </c>
      <c r="O1346" t="n">
        <v>-45</v>
      </c>
      <c r="P1346" t="n">
        <v>0.01125</v>
      </c>
      <c r="Q1346" t="n">
        <v>-80</v>
      </c>
      <c r="R1346" t="n">
        <v>0.09247</v>
      </c>
      <c r="S1346">
        <f>IMAGE("https://mitra.stanford.edu/kundaje/oak/projects/neuro-variants/variant_position/credible/roussos_2024/variant_figures/roussos_2024.childhood.GLU/rs2108600_count_position.png",4,220,900)</f>
        <v/>
      </c>
      <c r="T1346">
        <f>IMAGE("https://mitra.stanford.edu/kundaje/oak/projects/neuro-variants/variant_position/credible/roussos_2024/variant_figures/roussos_2024.childhood.GLU/rs2108600_profile_position.png",4,220,900)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-0.0994044527999999</v>
      </c>
      <c r="G1347" t="n">
        <v>0.0522145675824789</v>
      </c>
      <c r="H1347" t="n">
        <v>0.0226196306384017</v>
      </c>
      <c r="I1347" t="n">
        <v>0.06427629663699071</v>
      </c>
      <c r="J1347" t="n">
        <v>0.0048739530427436</v>
      </c>
      <c r="K1347" t="n">
        <v>0.6725860861869428</v>
      </c>
      <c r="L1347" t="b">
        <v>0</v>
      </c>
      <c r="M1347" t="b">
        <v>0</v>
      </c>
      <c r="N1347" t="inlineStr">
        <is>
          <t>ref</t>
        </is>
      </c>
      <c r="O1347" t="n">
        <v>95</v>
      </c>
      <c r="P1347" t="n">
        <v>0.00317</v>
      </c>
      <c r="Q1347" t="n">
        <v>45</v>
      </c>
      <c r="R1347" t="n">
        <v>0.0514</v>
      </c>
      <c r="S1347">
        <f>IMAGE("https://mitra.stanford.edu/kundaje/oak/projects/neuro-variants/variant_position/credible/roussos_2024/variant_figures/roussos_2024.childhood.GLU/rs6496569_count_position.png",4,220,900)</f>
        <v/>
      </c>
      <c r="T1347">
        <f>IMAGE("https://mitra.stanford.edu/kundaje/oak/projects/neuro-variants/variant_position/credible/roussos_2024/variant_figures/roussos_2024.childhood.GLU/rs6496569_profile_position.png",4,220,900)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0.0077336594799999</v>
      </c>
      <c r="G1348" t="n">
        <v>0.6799450587079359</v>
      </c>
      <c r="H1348" t="n">
        <v>0.0114580634519688</v>
      </c>
      <c r="I1348" t="n">
        <v>0.5060469637199028</v>
      </c>
      <c r="J1348" t="n">
        <v>0.1721542851844601</v>
      </c>
      <c r="K1348" t="n">
        <v>0.1706866706538395</v>
      </c>
      <c r="L1348" t="b">
        <v>0</v>
      </c>
      <c r="M1348" t="b">
        <v>0</v>
      </c>
      <c r="N1348" t="inlineStr">
        <is>
          <t>alt</t>
        </is>
      </c>
      <c r="O1348" t="n">
        <v>-95</v>
      </c>
      <c r="P1348" t="n">
        <v>0.003235</v>
      </c>
      <c r="Q1348" t="n">
        <v>-95</v>
      </c>
      <c r="R1348" t="n">
        <v>0.3013</v>
      </c>
      <c r="S1348">
        <f>IMAGE("https://mitra.stanford.edu/kundaje/oak/projects/neuro-variants/variant_position/credible/roussos_2024/variant_figures/roussos_2024.childhood.GLU/rs7168951_count_position.png",4,220,900)</f>
        <v/>
      </c>
      <c r="T1348">
        <f>IMAGE("https://mitra.stanford.edu/kundaje/oak/projects/neuro-variants/variant_position/credible/roussos_2024/variant_figures/roussos_2024.childhood.GLU/rs7168951_profile_position.png",4,220,900)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-0.00747914788</v>
      </c>
      <c r="G1349" t="n">
        <v>0.7321639779507531</v>
      </c>
      <c r="H1349" t="n">
        <v>0.0199262539125951</v>
      </c>
      <c r="I1349" t="n">
        <v>0.0988324987750253</v>
      </c>
      <c r="J1349" t="n">
        <v>0.1461763524163721</v>
      </c>
      <c r="K1349" t="n">
        <v>0.192736607061584</v>
      </c>
      <c r="L1349" t="b">
        <v>0</v>
      </c>
      <c r="M1349" t="b">
        <v>0</v>
      </c>
      <c r="N1349" t="inlineStr">
        <is>
          <t>ref</t>
        </is>
      </c>
      <c r="O1349" t="n">
        <v>-100</v>
      </c>
      <c r="P1349" t="n">
        <v>0.01524</v>
      </c>
      <c r="Q1349" t="n">
        <v>-100</v>
      </c>
      <c r="R1349" t="n">
        <v>0.197</v>
      </c>
      <c r="S1349">
        <f>IMAGE("https://mitra.stanford.edu/kundaje/oak/projects/neuro-variants/variant_position/credible/roussos_2024/variant_figures/roussos_2024.childhood.GLU/rs3759929_count_position.png",4,220,900)</f>
        <v/>
      </c>
      <c r="T1349">
        <f>IMAGE("https://mitra.stanford.edu/kundaje/oak/projects/neuro-variants/variant_position/credible/roussos_2024/variant_figures/roussos_2024.childhood.GLU/rs3759929_profile_position.png",4,220,900)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0.0706950476</v>
      </c>
      <c r="G1350" t="n">
        <v>0.0958982496462419</v>
      </c>
      <c r="H1350" t="n">
        <v>0.0137792336669671</v>
      </c>
      <c r="I1350" t="n">
        <v>0.314573288253617</v>
      </c>
      <c r="J1350" t="n">
        <v>0.1015236898224936</v>
      </c>
      <c r="K1350" t="n">
        <v>0.2474567875643999</v>
      </c>
      <c r="L1350" t="b">
        <v>0</v>
      </c>
      <c r="M1350" t="b">
        <v>0</v>
      </c>
      <c r="N1350" t="inlineStr">
        <is>
          <t>alt</t>
        </is>
      </c>
      <c r="O1350" t="n">
        <v>5</v>
      </c>
      <c r="P1350" t="n">
        <v>0.001526</v>
      </c>
      <c r="Q1350" t="n">
        <v>100</v>
      </c>
      <c r="R1350" t="n">
        <v>0.0862</v>
      </c>
      <c r="S1350">
        <f>IMAGE("https://mitra.stanford.edu/kundaje/oak/projects/neuro-variants/variant_position/credible/roussos_2024/variant_figures/roussos_2024.childhood.GLU/rs8037254_count_position.png",4,220,900)</f>
        <v/>
      </c>
      <c r="T1350">
        <f>IMAGE("https://mitra.stanford.edu/kundaje/oak/projects/neuro-variants/variant_position/credible/roussos_2024/variant_figures/roussos_2024.childhood.GLU/rs8037254_profile_position.png",4,220,900)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-0.0097675669</v>
      </c>
      <c r="G1351" t="n">
        <v>0.5492112497032802</v>
      </c>
      <c r="H1351" t="n">
        <v>0.0127931772725971</v>
      </c>
      <c r="I1351" t="n">
        <v>0.3924829325144145</v>
      </c>
      <c r="J1351" t="n">
        <v>0.1078430362533095</v>
      </c>
      <c r="K1351" t="n">
        <v>0.2390306700350763</v>
      </c>
      <c r="L1351" t="b">
        <v>0</v>
      </c>
      <c r="M1351" t="b">
        <v>0</v>
      </c>
      <c r="N1351" t="inlineStr">
        <is>
          <t>ref</t>
        </is>
      </c>
      <c r="O1351" t="n">
        <v>30</v>
      </c>
      <c r="P1351" t="n">
        <v>0.0094</v>
      </c>
      <c r="Q1351" t="n">
        <v>50</v>
      </c>
      <c r="R1351" t="n">
        <v>0.221</v>
      </c>
      <c r="S1351">
        <f>IMAGE("https://mitra.stanford.edu/kundaje/oak/projects/neuro-variants/variant_position/credible/roussos_2024/variant_figures/roussos_2024.childhood.GLU/rs12595052_count_position.png",4,220,900)</f>
        <v/>
      </c>
      <c r="T1351">
        <f>IMAGE("https://mitra.stanford.edu/kundaje/oak/projects/neuro-variants/variant_position/credible/roussos_2024/variant_figures/roussos_2024.childhood.GLU/rs12595052_profile_position.png",4,220,900)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0.00507440308</v>
      </c>
      <c r="G1352" t="n">
        <v>0.8047628965179487</v>
      </c>
      <c r="H1352" t="n">
        <v>0.0131107621339927</v>
      </c>
      <c r="I1352" t="n">
        <v>0.3670692402210948</v>
      </c>
      <c r="J1352" t="n">
        <v>0.5545839471705112</v>
      </c>
      <c r="K1352" t="n">
        <v>0.032859538409129</v>
      </c>
      <c r="L1352" t="b">
        <v>0</v>
      </c>
      <c r="M1352" t="b">
        <v>0</v>
      </c>
      <c r="N1352" t="inlineStr">
        <is>
          <t>alt</t>
        </is>
      </c>
      <c r="O1352" t="n">
        <v>-95</v>
      </c>
      <c r="P1352" t="n">
        <v>0.02377</v>
      </c>
      <c r="Q1352" t="n">
        <v>-100</v>
      </c>
      <c r="R1352" t="n">
        <v>0.1716</v>
      </c>
      <c r="S1352">
        <f>IMAGE("https://mitra.stanford.edu/kundaje/oak/projects/neuro-variants/variant_position/credible/roussos_2024/variant_figures/roussos_2024.childhood.GLU/rs11632664_count_position.png",4,220,900)</f>
        <v/>
      </c>
      <c r="T1352">
        <f>IMAGE("https://mitra.stanford.edu/kundaje/oak/projects/neuro-variants/variant_position/credible/roussos_2024/variant_figures/roussos_2024.childhood.GLU/rs11632664_profile_position.png",4,220,900)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-0.0392103741999999</v>
      </c>
      <c r="G1353" t="n">
        <v>0.2592443635284063</v>
      </c>
      <c r="H1353" t="n">
        <v>0.0116427293970367</v>
      </c>
      <c r="I1353" t="n">
        <v>0.4825523459887654</v>
      </c>
      <c r="J1353" t="n">
        <v>0.0315400702607476</v>
      </c>
      <c r="K1353" t="n">
        <v>0.4188371434886099</v>
      </c>
      <c r="L1353" t="b">
        <v>0</v>
      </c>
      <c r="M1353" t="b">
        <v>0</v>
      </c>
      <c r="N1353" t="inlineStr">
        <is>
          <t>ref</t>
        </is>
      </c>
      <c r="O1353" t="n">
        <v>-25</v>
      </c>
      <c r="P1353" t="n">
        <v>0.0006638</v>
      </c>
      <c r="Q1353" t="n">
        <v>-15</v>
      </c>
      <c r="R1353" t="n">
        <v>0.04535</v>
      </c>
      <c r="S1353">
        <f>IMAGE("https://mitra.stanford.edu/kundaje/oak/projects/neuro-variants/variant_position/credible/roussos_2024/variant_figures/roussos_2024.childhood.GLU/rs111548674_count_position.png",4,220,900)</f>
        <v/>
      </c>
      <c r="T1353">
        <f>IMAGE("https://mitra.stanford.edu/kundaje/oak/projects/neuro-variants/variant_position/credible/roussos_2024/variant_figures/roussos_2024.childhood.GLU/rs111548674_profile_position.png",4,220,900)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0.108660678</v>
      </c>
      <c r="G1354" t="n">
        <v>0.0377179223209343</v>
      </c>
      <c r="H1354" t="n">
        <v>0.0162595849600309</v>
      </c>
      <c r="I1354" t="n">
        <v>0.2018599751746639</v>
      </c>
      <c r="J1354" t="n">
        <v>0.0070384373680034</v>
      </c>
      <c r="K1354" t="n">
        <v>0.6423756571949683</v>
      </c>
      <c r="L1354" t="b">
        <v>0</v>
      </c>
      <c r="M1354" t="b">
        <v>0</v>
      </c>
      <c r="N1354" t="inlineStr">
        <is>
          <t>alt</t>
        </is>
      </c>
      <c r="O1354" t="n">
        <v>-100</v>
      </c>
      <c r="P1354" t="n">
        <v>0.02393</v>
      </c>
      <c r="Q1354" t="n">
        <v>95</v>
      </c>
      <c r="R1354" t="n">
        <v>0.02588</v>
      </c>
      <c r="S1354">
        <f>IMAGE("https://mitra.stanford.edu/kundaje/oak/projects/neuro-variants/variant_position/credible/roussos_2024/variant_figures/roussos_2024.childhood.GLU/rs11073569_count_position.png",4,220,900)</f>
        <v/>
      </c>
      <c r="T1354">
        <f>IMAGE("https://mitra.stanford.edu/kundaje/oak/projects/neuro-variants/variant_position/credible/roussos_2024/variant_figures/roussos_2024.childhood.GLU/rs11073569_profile_position.png",4,220,900)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-0.1373557019999999</v>
      </c>
      <c r="G1355" t="n">
        <v>0.0220529416447237</v>
      </c>
      <c r="H1355" t="n">
        <v>0.0192153463618602</v>
      </c>
      <c r="I1355" t="n">
        <v>0.1119930239235</v>
      </c>
      <c r="J1355" t="n">
        <v>0.1245294487312886</v>
      </c>
      <c r="K1355" t="n">
        <v>0.2199392440680443</v>
      </c>
      <c r="L1355" t="b">
        <v>0</v>
      </c>
      <c r="M1355" t="b">
        <v>0</v>
      </c>
      <c r="N1355" t="inlineStr">
        <is>
          <t>ref</t>
        </is>
      </c>
      <c r="O1355" t="n">
        <v>95</v>
      </c>
      <c r="P1355" t="n">
        <v>0.00516</v>
      </c>
      <c r="Q1355" t="n">
        <v>-60</v>
      </c>
      <c r="R1355" t="n">
        <v>0.1252</v>
      </c>
      <c r="S1355">
        <f>IMAGE("https://mitra.stanford.edu/kundaje/oak/projects/neuro-variants/variant_position/credible/roussos_2024/variant_figures/roussos_2024.childhood.GLU/rs12908536_count_position.png",4,220,900)</f>
        <v/>
      </c>
      <c r="T1355">
        <f>IMAGE("https://mitra.stanford.edu/kundaje/oak/projects/neuro-variants/variant_position/credible/roussos_2024/variant_figures/roussos_2024.childhood.GLU/rs12908536_profile_position.png",4,220,900)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0.0142475536119999</v>
      </c>
      <c r="G1356" t="n">
        <v>0.5749446434225985</v>
      </c>
      <c r="H1356" t="n">
        <v>0.008270072089555301</v>
      </c>
      <c r="I1356" t="n">
        <v>0.8261121491629769</v>
      </c>
      <c r="J1356" t="n">
        <v>0.2101610227986854</v>
      </c>
      <c r="K1356" t="n">
        <v>0.1413299822674282</v>
      </c>
      <c r="L1356" t="b">
        <v>0</v>
      </c>
      <c r="M1356" t="b">
        <v>0</v>
      </c>
      <c r="N1356" t="inlineStr">
        <is>
          <t>alt</t>
        </is>
      </c>
      <c r="O1356" t="n">
        <v>-100</v>
      </c>
      <c r="P1356" t="n">
        <v>0.0171</v>
      </c>
      <c r="Q1356" t="n">
        <v>65</v>
      </c>
      <c r="R1356" t="n">
        <v>0.006836</v>
      </c>
      <c r="S1356">
        <f>IMAGE("https://mitra.stanford.edu/kundaje/oak/projects/neuro-variants/variant_position/credible/roussos_2024/variant_figures/roussos_2024.childhood.GLU/rs59251433_count_position.png",4,220,900)</f>
        <v/>
      </c>
      <c r="T1356">
        <f>IMAGE("https://mitra.stanford.edu/kundaje/oak/projects/neuro-variants/variant_position/credible/roussos_2024/variant_figures/roussos_2024.childhood.GLU/rs59251433_profile_position.png",4,220,900)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0.00184848894</v>
      </c>
      <c r="G1357" t="n">
        <v>0.5843098635529416</v>
      </c>
      <c r="H1357" t="n">
        <v>0.0231059501878755</v>
      </c>
      <c r="I1357" t="n">
        <v>0.0588964828973617</v>
      </c>
      <c r="J1357" t="n">
        <v>0.09722047657803359</v>
      </c>
      <c r="K1357" t="n">
        <v>0.2636146826056238</v>
      </c>
      <c r="L1357" t="b">
        <v>0</v>
      </c>
      <c r="M1357" t="b">
        <v>0</v>
      </c>
      <c r="N1357" t="inlineStr">
        <is>
          <t>alt</t>
        </is>
      </c>
      <c r="O1357" t="n">
        <v>-60</v>
      </c>
      <c r="P1357" t="n">
        <v>0.06085</v>
      </c>
      <c r="Q1357" t="n">
        <v>-80</v>
      </c>
      <c r="R1357" t="n">
        <v>0.68</v>
      </c>
      <c r="S1357">
        <f>IMAGE("https://mitra.stanford.edu/kundaje/oak/projects/neuro-variants/variant_position/credible/roussos_2024/variant_figures/roussos_2024.childhood.GLU/rs189443571_count_position.png",4,220,900)</f>
        <v/>
      </c>
      <c r="T1357">
        <f>IMAGE("https://mitra.stanford.edu/kundaje/oak/projects/neuro-variants/variant_position/credible/roussos_2024/variant_figures/roussos_2024.childhood.GLU/rs189443571_profile_position.png",4,220,900)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0.1867042659999999</v>
      </c>
      <c r="G1358" t="n">
        <v>0.0094058213741448</v>
      </c>
      <c r="H1358" t="n">
        <v>0.0270264444514576</v>
      </c>
      <c r="I1358" t="n">
        <v>0.0332138467093593</v>
      </c>
      <c r="J1358" t="n">
        <v>0.1282701639074041</v>
      </c>
      <c r="K1358" t="n">
        <v>0.2086782117654703</v>
      </c>
      <c r="L1358" t="b">
        <v>1</v>
      </c>
      <c r="M1358" t="b">
        <v>1</v>
      </c>
      <c r="N1358" t="inlineStr">
        <is>
          <t>alt</t>
        </is>
      </c>
      <c r="O1358" t="n">
        <v>-100</v>
      </c>
      <c r="P1358" t="n">
        <v>0.07056</v>
      </c>
      <c r="Q1358" t="n">
        <v>-5</v>
      </c>
      <c r="R1358" t="n">
        <v>0.0001221</v>
      </c>
      <c r="S1358">
        <f>IMAGE("https://mitra.stanford.edu/kundaje/oak/projects/neuro-variants/variant_position/credible/roussos_2024/variant_figures/roussos_2024.childhood.GLU/rs73470164_count_position.png",4,220,900)</f>
        <v/>
      </c>
      <c r="T1358">
        <f>IMAGE("https://mitra.stanford.edu/kundaje/oak/projects/neuro-variants/variant_position/credible/roussos_2024/variant_figures/roussos_2024.childhood.GLU/rs73470164_profile_position.png",4,220,900)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-0.0280873708</v>
      </c>
      <c r="G1359" t="n">
        <v>0.3707629204583308</v>
      </c>
      <c r="H1359" t="n">
        <v>0.0116197216951355</v>
      </c>
      <c r="I1359" t="n">
        <v>0.4875595941035378</v>
      </c>
      <c r="J1359" t="n">
        <v>0.7277632975161487</v>
      </c>
      <c r="K1359" t="n">
        <v>0.0123795302161285</v>
      </c>
      <c r="L1359" t="b">
        <v>0</v>
      </c>
      <c r="M1359" t="b">
        <v>0</v>
      </c>
      <c r="N1359" t="inlineStr">
        <is>
          <t>ref</t>
        </is>
      </c>
      <c r="O1359" t="n">
        <v>-85</v>
      </c>
      <c r="P1359" t="n">
        <v>0.00566</v>
      </c>
      <c r="Q1359" t="n">
        <v>90</v>
      </c>
      <c r="R1359" t="n">
        <v>0.0931</v>
      </c>
      <c r="S1359">
        <f>IMAGE("https://mitra.stanford.edu/kundaje/oak/projects/neuro-variants/variant_position/credible/roussos_2024/variant_figures/roussos_2024.childhood.GLU/rs4786488_count_position.png",4,220,900)</f>
        <v/>
      </c>
      <c r="T1359">
        <f>IMAGE("https://mitra.stanford.edu/kundaje/oak/projects/neuro-variants/variant_position/credible/roussos_2024/variant_figures/roussos_2024.childhood.GLU/rs4786488_profile_position.png",4,220,900)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0.0324185376</v>
      </c>
      <c r="G1360" t="n">
        <v>0.3032625201573037</v>
      </c>
      <c r="H1360" t="n">
        <v>0.0107071080890373</v>
      </c>
      <c r="I1360" t="n">
        <v>0.583862147679215</v>
      </c>
      <c r="J1360" t="n">
        <v>0.3126551763215098</v>
      </c>
      <c r="K1360" t="n">
        <v>0.09249120099545891</v>
      </c>
      <c r="L1360" t="b">
        <v>0</v>
      </c>
      <c r="M1360" t="b">
        <v>0</v>
      </c>
      <c r="N1360" t="inlineStr">
        <is>
          <t>alt</t>
        </is>
      </c>
      <c r="O1360" t="n">
        <v>-40</v>
      </c>
      <c r="P1360" t="n">
        <v>0.00323</v>
      </c>
      <c r="Q1360" t="n">
        <v>-100</v>
      </c>
      <c r="R1360" t="n">
        <v>0.156</v>
      </c>
      <c r="S1360">
        <f>IMAGE("https://mitra.stanford.edu/kundaje/oak/projects/neuro-variants/variant_position/credible/roussos_2024/variant_figures/roussos_2024.childhood.GLU/rs6500602_count_position.png",4,220,900)</f>
        <v/>
      </c>
      <c r="T1360">
        <f>IMAGE("https://mitra.stanford.edu/kundaje/oak/projects/neuro-variants/variant_position/credible/roussos_2024/variant_figures/roussos_2024.childhood.GLU/rs6500602_profile_position.png",4,220,900)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-0.0553992802</v>
      </c>
      <c r="G1361" t="n">
        <v>0.1849067992926278</v>
      </c>
      <c r="H1361" t="n">
        <v>0.013282719970297</v>
      </c>
      <c r="I1361" t="n">
        <v>0.3539697486595601</v>
      </c>
      <c r="J1361" t="n">
        <v>0.1953578456117938</v>
      </c>
      <c r="K1361" t="n">
        <v>0.1502548472424987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0.006306</v>
      </c>
      <c r="Q1361" t="n">
        <v>-5</v>
      </c>
      <c r="R1361" t="n">
        <v>0.03003</v>
      </c>
      <c r="S1361">
        <f>IMAGE("https://mitra.stanford.edu/kundaje/oak/projects/neuro-variants/variant_position/credible/roussos_2024/variant_figures/roussos_2024.childhood.GLU/rs6500606_count_position.png",4,220,900)</f>
        <v/>
      </c>
      <c r="T1361">
        <f>IMAGE("https://mitra.stanford.edu/kundaje/oak/projects/neuro-variants/variant_position/credible/roussos_2024/variant_figures/roussos_2024.childhood.GLU/rs6500606_profile_position.png",4,220,900)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0.0039004172</v>
      </c>
      <c r="G1362" t="n">
        <v>0.769606116311663</v>
      </c>
      <c r="H1362" t="n">
        <v>0.0361817881772209</v>
      </c>
      <c r="I1362" t="n">
        <v>0.0098013885488195</v>
      </c>
      <c r="J1362" t="n">
        <v>0.0183666951693159</v>
      </c>
      <c r="K1362" t="n">
        <v>0.5046889399294954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0.092</v>
      </c>
      <c r="Q1362" t="n">
        <v>-75</v>
      </c>
      <c r="R1362" t="n">
        <v>0.04895</v>
      </c>
      <c r="S1362">
        <f>IMAGE("https://mitra.stanford.edu/kundaje/oak/projects/neuro-variants/variant_position/credible/roussos_2024/variant_figures/roussos_2024.childhood.GLU/rs11076833_count_position.png",4,220,900)</f>
        <v/>
      </c>
      <c r="T1362">
        <f>IMAGE("https://mitra.stanford.edu/kundaje/oak/projects/neuro-variants/variant_position/credible/roussos_2024/variant_figures/roussos_2024.childhood.GLU/rs11076833_profile_position.png",4,220,900)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-0.0524856742</v>
      </c>
      <c r="G1363" t="n">
        <v>0.1696230998922184</v>
      </c>
      <c r="H1363" t="n">
        <v>0.0205232619683948</v>
      </c>
      <c r="I1363" t="n">
        <v>0.0966198374937359</v>
      </c>
      <c r="J1363" t="n">
        <v>0.0175631265002523</v>
      </c>
      <c r="K1363" t="n">
        <v>0.5081636558793943</v>
      </c>
      <c r="L1363" t="b">
        <v>0</v>
      </c>
      <c r="M1363" t="b">
        <v>0</v>
      </c>
      <c r="N1363" t="inlineStr">
        <is>
          <t>ref</t>
        </is>
      </c>
      <c r="O1363" t="n">
        <v>30</v>
      </c>
      <c r="P1363" t="n">
        <v>0.0004272</v>
      </c>
      <c r="Q1363" t="n">
        <v>-90</v>
      </c>
      <c r="R1363" t="n">
        <v>0.010056</v>
      </c>
      <c r="S1363">
        <f>IMAGE("https://mitra.stanford.edu/kundaje/oak/projects/neuro-variants/variant_position/credible/roussos_2024/variant_figures/roussos_2024.childhood.GLU/rs4786501_count_position.png",4,220,900)</f>
        <v/>
      </c>
      <c r="T1363">
        <f>IMAGE("https://mitra.stanford.edu/kundaje/oak/projects/neuro-variants/variant_position/credible/roussos_2024/variant_figures/roussos_2024.childhood.GLU/rs4786501_profile_position.png",4,220,900)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-0.00924113746</v>
      </c>
      <c r="G1364" t="n">
        <v>0.6815213964097144</v>
      </c>
      <c r="H1364" t="n">
        <v>0.0265667772904657</v>
      </c>
      <c r="I1364" t="n">
        <v>0.0346374494379633</v>
      </c>
      <c r="J1364" t="n">
        <v>0.0228151689039528</v>
      </c>
      <c r="K1364" t="n">
        <v>0.4737319300148992</v>
      </c>
      <c r="L1364" t="b">
        <v>0</v>
      </c>
      <c r="M1364" t="b">
        <v>0</v>
      </c>
      <c r="N1364" t="inlineStr">
        <is>
          <t>ref</t>
        </is>
      </c>
      <c r="O1364" t="n">
        <v>35</v>
      </c>
      <c r="P1364" t="n">
        <v>0.01036</v>
      </c>
      <c r="Q1364" t="n">
        <v>-75</v>
      </c>
      <c r="R1364" t="n">
        <v>0.04297</v>
      </c>
      <c r="S1364">
        <f>IMAGE("https://mitra.stanford.edu/kundaje/oak/projects/neuro-variants/variant_position/credible/roussos_2024/variant_figures/roussos_2024.childhood.GLU/rs4786502_count_position.png",4,220,900)</f>
        <v/>
      </c>
      <c r="T1364">
        <f>IMAGE("https://mitra.stanford.edu/kundaje/oak/projects/neuro-variants/variant_position/credible/roussos_2024/variant_figures/roussos_2024.childhood.GLU/rs4786502_profile_position.png",4,220,900)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-0.01184203054</v>
      </c>
      <c r="G1365" t="n">
        <v>0.5711682358142975</v>
      </c>
      <c r="H1365" t="n">
        <v>0.0119738588810502</v>
      </c>
      <c r="I1365" t="n">
        <v>0.4626435413040348</v>
      </c>
      <c r="J1365" t="n">
        <v>0.0564486385692356</v>
      </c>
      <c r="K1365" t="n">
        <v>0.3344895296018457</v>
      </c>
      <c r="L1365" t="b">
        <v>0</v>
      </c>
      <c r="M1365" t="b">
        <v>0</v>
      </c>
      <c r="N1365" t="inlineStr">
        <is>
          <t>ref</t>
        </is>
      </c>
      <c r="O1365" t="n">
        <v>25</v>
      </c>
      <c r="P1365" t="n">
        <v>0.017</v>
      </c>
      <c r="Q1365" t="n">
        <v>-75</v>
      </c>
      <c r="R1365" t="n">
        <v>0.09379999999999999</v>
      </c>
      <c r="S1365">
        <f>IMAGE("https://mitra.stanford.edu/kundaje/oak/projects/neuro-variants/variant_position/credible/roussos_2024/variant_figures/roussos_2024.childhood.GLU/rs2270366_count_position.png",4,220,900)</f>
        <v/>
      </c>
      <c r="T1365">
        <f>IMAGE("https://mitra.stanford.edu/kundaje/oak/projects/neuro-variants/variant_position/credible/roussos_2024/variant_figures/roussos_2024.childhood.GLU/rs2270366_profile_position.png",4,220,900)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-0.0658671614</v>
      </c>
      <c r="G1366" t="n">
        <v>0.1187953008139881</v>
      </c>
      <c r="H1366" t="n">
        <v>0.0098378248831427</v>
      </c>
      <c r="I1366" t="n">
        <v>0.6735951624690283</v>
      </c>
      <c r="J1366" t="n">
        <v>0.3516076524462485</v>
      </c>
      <c r="K1366" t="n">
        <v>0.07858649237735189</v>
      </c>
      <c r="L1366" t="b">
        <v>0</v>
      </c>
      <c r="M1366" t="b">
        <v>0</v>
      </c>
      <c r="N1366" t="inlineStr">
        <is>
          <t>ref</t>
        </is>
      </c>
      <c r="O1366" t="n">
        <v>-95</v>
      </c>
      <c r="P1366" t="n">
        <v>0.001472</v>
      </c>
      <c r="Q1366" t="n">
        <v>-60</v>
      </c>
      <c r="R1366" t="n">
        <v>0.02148</v>
      </c>
      <c r="S1366">
        <f>IMAGE("https://mitra.stanford.edu/kundaje/oak/projects/neuro-variants/variant_position/credible/roussos_2024/variant_figures/roussos_2024.childhood.GLU/rs1051308_count_position.png",4,220,900)</f>
        <v/>
      </c>
      <c r="T1366">
        <f>IMAGE("https://mitra.stanford.edu/kundaje/oak/projects/neuro-variants/variant_position/credible/roussos_2024/variant_figures/roussos_2024.childhood.GLU/rs1051308_profile_position.png",4,220,900)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-0.099568754</v>
      </c>
      <c r="G1367" t="n">
        <v>0.0476353281345657</v>
      </c>
      <c r="H1367" t="n">
        <v>0.0161342165771018</v>
      </c>
      <c r="I1367" t="n">
        <v>0.1989566988246582</v>
      </c>
      <c r="J1367" t="n">
        <v>0.1676079409067963</v>
      </c>
      <c r="K1367" t="n">
        <v>0.1725983008003324</v>
      </c>
      <c r="L1367" t="b">
        <v>0</v>
      </c>
      <c r="M1367" t="b">
        <v>0</v>
      </c>
      <c r="N1367" t="inlineStr">
        <is>
          <t>ref</t>
        </is>
      </c>
      <c r="O1367" t="n">
        <v>-100</v>
      </c>
      <c r="P1367" t="n">
        <v>0.003521</v>
      </c>
      <c r="Q1367" t="n">
        <v>70</v>
      </c>
      <c r="R1367" t="n">
        <v>0.11237</v>
      </c>
      <c r="S1367">
        <f>IMAGE("https://mitra.stanford.edu/kundaje/oak/projects/neuro-variants/variant_position/credible/roussos_2024/variant_figures/roussos_2024.childhood.GLU/rs11076836_count_position.png",4,220,900)</f>
        <v/>
      </c>
      <c r="T1367">
        <f>IMAGE("https://mitra.stanford.edu/kundaje/oak/projects/neuro-variants/variant_position/credible/roussos_2024/variant_figures/roussos_2024.childhood.GLU/rs11076836_profile_position.png",4,220,900)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0.0873498996</v>
      </c>
      <c r="G1368" t="n">
        <v>0.0620231499721717</v>
      </c>
      <c r="H1368" t="n">
        <v>0.030741275688614</v>
      </c>
      <c r="I1368" t="n">
        <v>0.0194050031262975</v>
      </c>
      <c r="J1368" t="n">
        <v>0.2061936600492443</v>
      </c>
      <c r="K1368" t="n">
        <v>0.143913859754668</v>
      </c>
      <c r="L1368" t="b">
        <v>1</v>
      </c>
      <c r="M1368" t="b">
        <v>0</v>
      </c>
      <c r="N1368" t="inlineStr">
        <is>
          <t>alt</t>
        </is>
      </c>
      <c r="O1368" t="n">
        <v>-70</v>
      </c>
      <c r="P1368" t="n">
        <v>0.00751</v>
      </c>
      <c r="Q1368" t="n">
        <v>-40</v>
      </c>
      <c r="R1368" t="n">
        <v>0.08840000000000001</v>
      </c>
      <c r="S1368">
        <f>IMAGE("https://mitra.stanford.edu/kundaje/oak/projects/neuro-variants/variant_position/credible/roussos_2024/variant_figures/roussos_2024.childhood.GLU/rs11076837_count_position.png",4,220,900)</f>
        <v/>
      </c>
      <c r="T1368">
        <f>IMAGE("https://mitra.stanford.edu/kundaje/oak/projects/neuro-variants/variant_position/credible/roussos_2024/variant_figures/roussos_2024.childhood.GLU/rs11076837_profile_position.png",4,220,900)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-0.0351944648</v>
      </c>
      <c r="G1369" t="n">
        <v>0.2796771079837267</v>
      </c>
      <c r="H1369" t="n">
        <v>0.0114740595979778</v>
      </c>
      <c r="I1369" t="n">
        <v>0.5052743029935837</v>
      </c>
      <c r="J1369" t="n">
        <v>0.2209741724788032</v>
      </c>
      <c r="K1369" t="n">
        <v>0.1356459228894631</v>
      </c>
      <c r="L1369" t="b">
        <v>0</v>
      </c>
      <c r="M1369" t="b">
        <v>0</v>
      </c>
      <c r="N1369" t="inlineStr">
        <is>
          <t>ref</t>
        </is>
      </c>
      <c r="O1369" t="n">
        <v>-100</v>
      </c>
      <c r="P1369" t="n">
        <v>0.00689</v>
      </c>
      <c r="Q1369" t="n">
        <v>-20</v>
      </c>
      <c r="R1369" t="n">
        <v>0.04028</v>
      </c>
      <c r="S1369">
        <f>IMAGE("https://mitra.stanford.edu/kundaje/oak/projects/neuro-variants/variant_position/credible/roussos_2024/variant_figures/roussos_2024.childhood.GLU/rs4786519_count_position.png",4,220,900)</f>
        <v/>
      </c>
      <c r="T1369">
        <f>IMAGE("https://mitra.stanford.edu/kundaje/oak/projects/neuro-variants/variant_position/credible/roussos_2024/variant_figures/roussos_2024.childhood.GLU/rs4786519_profile_position.png",4,220,900)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0.06375934</v>
      </c>
      <c r="G1370" t="n">
        <v>0.1140477359064041</v>
      </c>
      <c r="H1370" t="n">
        <v>0.0154775419873368</v>
      </c>
      <c r="I1370" t="n">
        <v>0.2243230840108782</v>
      </c>
      <c r="J1370" t="n">
        <v>0.1182780965724705</v>
      </c>
      <c r="K1370" t="n">
        <v>0.221824658579579</v>
      </c>
      <c r="L1370" t="b">
        <v>0</v>
      </c>
      <c r="M1370" t="b">
        <v>0</v>
      </c>
      <c r="N1370" t="inlineStr">
        <is>
          <t>alt</t>
        </is>
      </c>
      <c r="O1370" t="n">
        <v>-55</v>
      </c>
      <c r="P1370" t="n">
        <v>0.02347</v>
      </c>
      <c r="Q1370" t="n">
        <v>-45</v>
      </c>
      <c r="R1370" t="n">
        <v>0.1747</v>
      </c>
      <c r="S1370">
        <f>IMAGE("https://mitra.stanford.edu/kundaje/oak/projects/neuro-variants/variant_position/credible/roussos_2024/variant_figures/roussos_2024.childhood.GLU/rs12596497_count_position.png",4,220,900)</f>
        <v/>
      </c>
      <c r="T1370">
        <f>IMAGE("https://mitra.stanford.edu/kundaje/oak/projects/neuro-variants/variant_position/credible/roussos_2024/variant_figures/roussos_2024.childhood.GLU/rs12596497_profile_position.png",4,220,900)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0.0176487598</v>
      </c>
      <c r="G1371" t="n">
        <v>0.4981609297168899</v>
      </c>
      <c r="H1371" t="n">
        <v>0.0172296861027407</v>
      </c>
      <c r="I1371" t="n">
        <v>0.1617007881137289</v>
      </c>
      <c r="J1371" t="n">
        <v>0.1456457910515416</v>
      </c>
      <c r="K1371" t="n">
        <v>0.1903960996065159</v>
      </c>
      <c r="L1371" t="b">
        <v>0</v>
      </c>
      <c r="M1371" t="b">
        <v>0</v>
      </c>
      <c r="N1371" t="inlineStr">
        <is>
          <t>alt</t>
        </is>
      </c>
      <c r="O1371" t="n">
        <v>0</v>
      </c>
      <c r="P1371" t="n">
        <v>0</v>
      </c>
      <c r="Q1371" t="n">
        <v>100</v>
      </c>
      <c r="R1371" t="n">
        <v>0.08495999999999999</v>
      </c>
      <c r="S1371">
        <f>IMAGE("https://mitra.stanford.edu/kundaje/oak/projects/neuro-variants/variant_position/credible/roussos_2024/variant_figures/roussos_2024.childhood.GLU/rs929468_count_position.png",4,220,900)</f>
        <v/>
      </c>
      <c r="T1371">
        <f>IMAGE("https://mitra.stanford.edu/kundaje/oak/projects/neuro-variants/variant_position/credible/roussos_2024/variant_figures/roussos_2024.childhood.GLU/rs929468_profile_position.png",4,220,900)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-0.0788018804</v>
      </c>
      <c r="G1372" t="n">
        <v>0.07695316753560839</v>
      </c>
      <c r="H1372" t="n">
        <v>0.0256356648061291</v>
      </c>
      <c r="I1372" t="n">
        <v>0.0392343369155087</v>
      </c>
      <c r="J1372" t="n">
        <v>0.1978427271884368</v>
      </c>
      <c r="K1372" t="n">
        <v>0.1501661543407738</v>
      </c>
      <c r="L1372" t="b">
        <v>0</v>
      </c>
      <c r="M1372" t="b">
        <v>0</v>
      </c>
      <c r="N1372" t="inlineStr">
        <is>
          <t>ref</t>
        </is>
      </c>
      <c r="O1372" t="n">
        <v>-100</v>
      </c>
      <c r="P1372" t="n">
        <v>0.04642</v>
      </c>
      <c r="Q1372" t="n">
        <v>-10</v>
      </c>
      <c r="R1372" t="n">
        <v>0.00757</v>
      </c>
      <c r="S1372">
        <f>IMAGE("https://mitra.stanford.edu/kundaje/oak/projects/neuro-variants/variant_position/credible/roussos_2024/variant_figures/roussos_2024.childhood.GLU/rs57105172_count_position.png",4,220,900)</f>
        <v/>
      </c>
      <c r="T1372">
        <f>IMAGE("https://mitra.stanford.edu/kundaje/oak/projects/neuro-variants/variant_position/credible/roussos_2024/variant_figures/roussos_2024.childhood.GLU/rs57105172_profile_position.png",4,220,900)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0.0182070292</v>
      </c>
      <c r="G1373" t="n">
        <v>0.4882072176051449</v>
      </c>
      <c r="H1373" t="n">
        <v>0.0174466656483124</v>
      </c>
      <c r="I1373" t="n">
        <v>0.1580449794828254</v>
      </c>
      <c r="J1373" t="n">
        <v>0.033946655402969</v>
      </c>
      <c r="K1373" t="n">
        <v>0.4179492980570063</v>
      </c>
      <c r="L1373" t="b">
        <v>0</v>
      </c>
      <c r="M1373" t="b">
        <v>0</v>
      </c>
      <c r="N1373" t="inlineStr">
        <is>
          <t>alt</t>
        </is>
      </c>
      <c r="O1373" t="n">
        <v>-100</v>
      </c>
      <c r="P1373" t="n">
        <v>0.00842</v>
      </c>
      <c r="Q1373" t="n">
        <v>75</v>
      </c>
      <c r="R1373" t="n">
        <v>0.05786</v>
      </c>
      <c r="S1373">
        <f>IMAGE("https://mitra.stanford.edu/kundaje/oak/projects/neuro-variants/variant_position/credible/roussos_2024/variant_figures/roussos_2024.childhood.GLU/rs66926752_count_position.png",4,220,900)</f>
        <v/>
      </c>
      <c r="T1373">
        <f>IMAGE("https://mitra.stanford.edu/kundaje/oak/projects/neuro-variants/variant_position/credible/roussos_2024/variant_figures/roussos_2024.childhood.GLU/rs66926752_profile_position.png",4,220,900)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0.127204556</v>
      </c>
      <c r="G1374" t="n">
        <v>0.0254595858065934</v>
      </c>
      <c r="H1374" t="n">
        <v>0.0325319511457599</v>
      </c>
      <c r="I1374" t="n">
        <v>0.0156906066016479</v>
      </c>
      <c r="J1374" t="n">
        <v>0.0767717143828489</v>
      </c>
      <c r="K1374" t="n">
        <v>0.2937646720175589</v>
      </c>
      <c r="L1374" t="b">
        <v>1</v>
      </c>
      <c r="M1374" t="b">
        <v>0</v>
      </c>
      <c r="N1374" t="inlineStr">
        <is>
          <t>alt</t>
        </is>
      </c>
      <c r="O1374" t="n">
        <v>10</v>
      </c>
      <c r="P1374" t="n">
        <v>0.006165</v>
      </c>
      <c r="Q1374" t="n">
        <v>15</v>
      </c>
      <c r="R1374" t="n">
        <v>0.04715</v>
      </c>
      <c r="S1374">
        <f>IMAGE("https://mitra.stanford.edu/kundaje/oak/projects/neuro-variants/variant_position/credible/roussos_2024/variant_figures/roussos_2024.childhood.GLU/rs11076959_count_position.png",4,220,900)</f>
        <v/>
      </c>
      <c r="T1374">
        <f>IMAGE("https://mitra.stanford.edu/kundaje/oak/projects/neuro-variants/variant_position/credible/roussos_2024/variant_figures/roussos_2024.childhood.GLU/rs11076959_profile_position.png",4,220,900)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-0.002347082556</v>
      </c>
      <c r="G1375" t="n">
        <v>0.8283366977752551</v>
      </c>
      <c r="H1375" t="n">
        <v>0.0097206317498684</v>
      </c>
      <c r="I1375" t="n">
        <v>0.68463022907368</v>
      </c>
      <c r="J1375" t="n">
        <v>0.0010302162423892</v>
      </c>
      <c r="K1375" t="n">
        <v>0.8225048277290281</v>
      </c>
      <c r="L1375" t="b">
        <v>0</v>
      </c>
      <c r="M1375" t="b">
        <v>0</v>
      </c>
      <c r="N1375" t="inlineStr">
        <is>
          <t>ref</t>
        </is>
      </c>
      <c r="O1375" t="n">
        <v>-100</v>
      </c>
      <c r="P1375" t="n">
        <v>0.001668</v>
      </c>
      <c r="Q1375" t="n">
        <v>-100</v>
      </c>
      <c r="R1375" t="n">
        <v>0.10144</v>
      </c>
      <c r="S1375">
        <f>IMAGE("https://mitra.stanford.edu/kundaje/oak/projects/neuro-variants/variant_position/credible/roussos_2024/variant_figures/roussos_2024.childhood.GLU/rs9929010_count_position.png",4,220,900)</f>
        <v/>
      </c>
      <c r="T1375">
        <f>IMAGE("https://mitra.stanford.edu/kundaje/oak/projects/neuro-variants/variant_position/credible/roussos_2024/variant_figures/roussos_2024.childhood.GLU/rs9929010_profile_position.png",4,220,900)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0.0613080793999999</v>
      </c>
      <c r="G1376" t="n">
        <v>0.1277195196634436</v>
      </c>
      <c r="H1376" t="n">
        <v>0.0209096690683091</v>
      </c>
      <c r="I1376" t="n">
        <v>0.0839257213559709</v>
      </c>
      <c r="J1376" t="n">
        <v>0.0540575066706501</v>
      </c>
      <c r="K1376" t="n">
        <v>0.3429267255748709</v>
      </c>
      <c r="L1376" t="b">
        <v>0</v>
      </c>
      <c r="M1376" t="b">
        <v>0</v>
      </c>
      <c r="N1376" t="inlineStr">
        <is>
          <t>alt</t>
        </is>
      </c>
      <c r="O1376" t="n">
        <v>0</v>
      </c>
      <c r="P1376" t="n">
        <v>0</v>
      </c>
      <c r="Q1376" t="n">
        <v>-100</v>
      </c>
      <c r="R1376" t="n">
        <v>0.1026</v>
      </c>
      <c r="S1376">
        <f>IMAGE("https://mitra.stanford.edu/kundaje/oak/projects/neuro-variants/variant_position/credible/roussos_2024/variant_figures/roussos_2024.childhood.GLU/rs6500717_count_position.png",4,220,900)</f>
        <v/>
      </c>
      <c r="T1376">
        <f>IMAGE("https://mitra.stanford.edu/kundaje/oak/projects/neuro-variants/variant_position/credible/roussos_2024/variant_figures/roussos_2024.childhood.GLU/rs6500717_profile_position.png",4,220,900)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-0.1484708592</v>
      </c>
      <c r="G1377" t="n">
        <v>0.0175818326421002</v>
      </c>
      <c r="H1377" t="n">
        <v>0.0357494553323853</v>
      </c>
      <c r="I1377" t="n">
        <v>0.0111321278638351</v>
      </c>
      <c r="J1377" t="n">
        <v>0.3807483490784715</v>
      </c>
      <c r="K1377" t="n">
        <v>0.06982420360518241</v>
      </c>
      <c r="L1377" t="b">
        <v>1</v>
      </c>
      <c r="M1377" t="b">
        <v>0</v>
      </c>
      <c r="N1377" t="inlineStr">
        <is>
          <t>ref</t>
        </is>
      </c>
      <c r="O1377" t="n">
        <v>30</v>
      </c>
      <c r="P1377" t="n">
        <v>0.001709</v>
      </c>
      <c r="Q1377" t="n">
        <v>10</v>
      </c>
      <c r="R1377" t="n">
        <v>0.02588</v>
      </c>
      <c r="S1377">
        <f>IMAGE("https://mitra.stanford.edu/kundaje/oak/projects/neuro-variants/variant_position/credible/roussos_2024/variant_figures/roussos_2024.childhood.GLU/rs7189389_count_position.png",4,220,900)</f>
        <v/>
      </c>
      <c r="T1377">
        <f>IMAGE("https://mitra.stanford.edu/kundaje/oak/projects/neuro-variants/variant_position/credible/roussos_2024/variant_figures/roussos_2024.childhood.GLU/rs7189389_profile_position.png",4,220,900)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-0.00567883404</v>
      </c>
      <c r="G1378" t="n">
        <v>0.792334574392987</v>
      </c>
      <c r="H1378" t="n">
        <v>0.0179790234681087</v>
      </c>
      <c r="I1378" t="n">
        <v>0.1423848415139625</v>
      </c>
      <c r="J1378" t="n">
        <v>0.0051376884007952</v>
      </c>
      <c r="K1378" t="n">
        <v>0.6659330809843066</v>
      </c>
      <c r="L1378" t="b">
        <v>0</v>
      </c>
      <c r="M1378" t="b">
        <v>0</v>
      </c>
      <c r="N1378" t="inlineStr">
        <is>
          <t>ref</t>
        </is>
      </c>
      <c r="O1378" t="n">
        <v>-10</v>
      </c>
      <c r="P1378" t="n">
        <v>0.000254</v>
      </c>
      <c r="Q1378" t="n">
        <v>100</v>
      </c>
      <c r="R1378" t="n">
        <v>0.1488</v>
      </c>
      <c r="S1378">
        <f>IMAGE("https://mitra.stanford.edu/kundaje/oak/projects/neuro-variants/variant_position/credible/roussos_2024/variant_figures/roussos_2024.childhood.GLU/rs3900820_count_position.png",4,220,900)</f>
        <v/>
      </c>
      <c r="T1378">
        <f>IMAGE("https://mitra.stanford.edu/kundaje/oak/projects/neuro-variants/variant_position/credible/roussos_2024/variant_figures/roussos_2024.childhood.GLU/rs3900820_profile_position.png",4,220,900)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-0.07194636539999991</v>
      </c>
      <c r="G1379" t="n">
        <v>0.0964690811165046</v>
      </c>
      <c r="H1379" t="n">
        <v>0.0144113517309019</v>
      </c>
      <c r="I1379" t="n">
        <v>0.2832267602455095</v>
      </c>
      <c r="J1379" t="n">
        <v>0.2451152296867112</v>
      </c>
      <c r="K1379" t="n">
        <v>0.1218054880250292</v>
      </c>
      <c r="L1379" t="b">
        <v>0</v>
      </c>
      <c r="M1379" t="b">
        <v>0</v>
      </c>
      <c r="N1379" t="inlineStr">
        <is>
          <t>ref</t>
        </is>
      </c>
      <c r="O1379" t="n">
        <v>100</v>
      </c>
      <c r="P1379" t="n">
        <v>0.01086</v>
      </c>
      <c r="Q1379" t="n">
        <v>-100</v>
      </c>
      <c r="R1379" t="n">
        <v>0.0221</v>
      </c>
      <c r="S1379">
        <f>IMAGE("https://mitra.stanford.edu/kundaje/oak/projects/neuro-variants/variant_position/credible/roussos_2024/variant_figures/roussos_2024.childhood.GLU/rs9927114_count_position.png",4,220,900)</f>
        <v/>
      </c>
      <c r="T1379">
        <f>IMAGE("https://mitra.stanford.edu/kundaje/oak/projects/neuro-variants/variant_position/credible/roussos_2024/variant_figures/roussos_2024.childhood.GLU/rs9927114_profile_position.png",4,220,900)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-0.0215285944</v>
      </c>
      <c r="G1380" t="n">
        <v>0.469061865700342</v>
      </c>
      <c r="H1380" t="n">
        <v>0.0123653651974217</v>
      </c>
      <c r="I1380" t="n">
        <v>0.4286940522618875</v>
      </c>
      <c r="J1380" t="n">
        <v>0.2494277148773527</v>
      </c>
      <c r="K1380" t="n">
        <v>0.1195530883925882</v>
      </c>
      <c r="L1380" t="b">
        <v>0</v>
      </c>
      <c r="M1380" t="b">
        <v>0</v>
      </c>
      <c r="N1380" t="inlineStr">
        <is>
          <t>ref</t>
        </is>
      </c>
      <c r="O1380" t="n">
        <v>100</v>
      </c>
      <c r="P1380" t="n">
        <v>0.008255</v>
      </c>
      <c r="Q1380" t="n">
        <v>-100</v>
      </c>
      <c r="R1380" t="n">
        <v>0.1007</v>
      </c>
      <c r="S1380">
        <f>IMAGE("https://mitra.stanford.edu/kundaje/oak/projects/neuro-variants/variant_position/credible/roussos_2024/variant_figures/roussos_2024.childhood.GLU/rs9927115_count_position.png",4,220,900)</f>
        <v/>
      </c>
      <c r="T1380">
        <f>IMAGE("https://mitra.stanford.edu/kundaje/oak/projects/neuro-variants/variant_position/credible/roussos_2024/variant_figures/roussos_2024.childhood.GLU/rs9927115_profile_position.png",4,220,900)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0.030831588</v>
      </c>
      <c r="G1381" t="n">
        <v>0.3165909530951659</v>
      </c>
      <c r="H1381" t="n">
        <v>0.0124797489478677</v>
      </c>
      <c r="I1381" t="n">
        <v>0.3983441094608215</v>
      </c>
      <c r="J1381" t="n">
        <v>0.3639249178402546</v>
      </c>
      <c r="K1381" t="n">
        <v>0.07459106962453969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0.01326</v>
      </c>
      <c r="Q1381" t="n">
        <v>100</v>
      </c>
      <c r="R1381" t="n">
        <v>0.2069</v>
      </c>
      <c r="S1381">
        <f>IMAGE("https://mitra.stanford.edu/kundaje/oak/projects/neuro-variants/variant_position/credible/roussos_2024/variant_figures/roussos_2024.childhood.GLU/rs9927274_count_position.png",4,220,900)</f>
        <v/>
      </c>
      <c r="T1381">
        <f>IMAGE("https://mitra.stanford.edu/kundaje/oak/projects/neuro-variants/variant_position/credible/roussos_2024/variant_figures/roussos_2024.childhood.GLU/rs9927274_profile_position.png",4,220,900)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0.1256761679999999</v>
      </c>
      <c r="G1382" t="n">
        <v>0.0276505996031663</v>
      </c>
      <c r="H1382" t="n">
        <v>0.0198820848997301</v>
      </c>
      <c r="I1382" t="n">
        <v>0.1045428060998818</v>
      </c>
      <c r="J1382" t="n">
        <v>0.466326351901264</v>
      </c>
      <c r="K1382" t="n">
        <v>0.0490751303379538</v>
      </c>
      <c r="L1382" t="b">
        <v>0</v>
      </c>
      <c r="M1382" t="b">
        <v>0</v>
      </c>
      <c r="N1382" t="inlineStr">
        <is>
          <t>alt</t>
        </is>
      </c>
      <c r="O1382" t="n">
        <v>80</v>
      </c>
      <c r="P1382" t="n">
        <v>0.01055</v>
      </c>
      <c r="Q1382" t="n">
        <v>70</v>
      </c>
      <c r="R1382" t="n">
        <v>0.0774</v>
      </c>
      <c r="S1382">
        <f>IMAGE("https://mitra.stanford.edu/kundaje/oak/projects/neuro-variants/variant_position/credible/roussos_2024/variant_figures/roussos_2024.childhood.GLU/rs9929578_count_position.png",4,220,900)</f>
        <v/>
      </c>
      <c r="T1382">
        <f>IMAGE("https://mitra.stanford.edu/kundaje/oak/projects/neuro-variants/variant_position/credible/roussos_2024/variant_figures/roussos_2024.childhood.GLU/rs9929578_profile_position.png",4,220,900)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0.134130912</v>
      </c>
      <c r="G1383" t="n">
        <v>0.0226724059978944</v>
      </c>
      <c r="H1383" t="n">
        <v>0.0265804855014821</v>
      </c>
      <c r="I1383" t="n">
        <v>0.0348819905616042</v>
      </c>
      <c r="J1383" t="n">
        <v>0.0872242883781305</v>
      </c>
      <c r="K1383" t="n">
        <v>0.2784313679057287</v>
      </c>
      <c r="L1383" t="b">
        <v>0</v>
      </c>
      <c r="M1383" t="b">
        <v>0</v>
      </c>
      <c r="N1383" t="inlineStr">
        <is>
          <t>alt</t>
        </is>
      </c>
      <c r="O1383" t="n">
        <v>-80</v>
      </c>
      <c r="P1383" t="n">
        <v>0.01416</v>
      </c>
      <c r="Q1383" t="n">
        <v>-80</v>
      </c>
      <c r="R1383" t="n">
        <v>0.07983</v>
      </c>
      <c r="S1383">
        <f>IMAGE("https://mitra.stanford.edu/kundaje/oak/projects/neuro-variants/variant_position/credible/roussos_2024/variant_figures/roussos_2024.childhood.GLU/rs11648113_count_position.png",4,220,900)</f>
        <v/>
      </c>
      <c r="T1383">
        <f>IMAGE("https://mitra.stanford.edu/kundaje/oak/projects/neuro-variants/variant_position/credible/roussos_2024/variant_figures/roussos_2024.childhood.GLU/rs11648113_profile_position.png",4,220,900)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-0.030911424</v>
      </c>
      <c r="G1384" t="n">
        <v>0.3460034436300104</v>
      </c>
      <c r="H1384" t="n">
        <v>0.0107386499923628</v>
      </c>
      <c r="I1384" t="n">
        <v>0.5782258865611326</v>
      </c>
      <c r="J1384" t="n">
        <v>0.0343793462247725</v>
      </c>
      <c r="K1384" t="n">
        <v>0.4058615806886075</v>
      </c>
      <c r="L1384" t="b">
        <v>0</v>
      </c>
      <c r="M1384" t="b">
        <v>0</v>
      </c>
      <c r="N1384" t="inlineStr">
        <is>
          <t>ref</t>
        </is>
      </c>
      <c r="O1384" t="n">
        <v>-45</v>
      </c>
      <c r="P1384" t="n">
        <v>0.01814</v>
      </c>
      <c r="Q1384" t="n">
        <v>-100</v>
      </c>
      <c r="R1384" t="n">
        <v>0.0968</v>
      </c>
      <c r="S1384">
        <f>IMAGE("https://mitra.stanford.edu/kundaje/oak/projects/neuro-variants/variant_position/credible/roussos_2024/variant_figures/roussos_2024.childhood.GLU/rs7198618_count_position.png",4,220,900)</f>
        <v/>
      </c>
      <c r="T1384">
        <f>IMAGE("https://mitra.stanford.edu/kundaje/oak/projects/neuro-variants/variant_position/credible/roussos_2024/variant_figures/roussos_2024.childhood.GLU/rs7198618_profile_position.png",4,220,900)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0.00056111026</v>
      </c>
      <c r="G1385" t="n">
        <v>0.7152132419604105</v>
      </c>
      <c r="H1385" t="n">
        <v>0.020783148038683</v>
      </c>
      <c r="I1385" t="n">
        <v>0.0846314601471912</v>
      </c>
      <c r="J1385" t="n">
        <v>0.0232118021572727</v>
      </c>
      <c r="K1385" t="n">
        <v>0.4658155342615348</v>
      </c>
      <c r="L1385" t="b">
        <v>0</v>
      </c>
      <c r="M1385" t="b">
        <v>0</v>
      </c>
      <c r="N1385" t="inlineStr">
        <is>
          <t>alt</t>
        </is>
      </c>
      <c r="O1385" t="n">
        <v>-90</v>
      </c>
      <c r="P1385" t="n">
        <v>0.01371</v>
      </c>
      <c r="Q1385" t="n">
        <v>-20</v>
      </c>
      <c r="R1385" t="n">
        <v>0.04153</v>
      </c>
      <c r="S1385">
        <f>IMAGE("https://mitra.stanford.edu/kundaje/oak/projects/neuro-variants/variant_position/credible/roussos_2024/variant_figures/roussos_2024.childhood.GLU/rs11861310_count_position.png",4,220,900)</f>
        <v/>
      </c>
      <c r="T1385">
        <f>IMAGE("https://mitra.stanford.edu/kundaje/oak/projects/neuro-variants/variant_position/credible/roussos_2024/variant_figures/roussos_2024.childhood.GLU/rs11861310_profile_position.png",4,220,900)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-0.009327471948</v>
      </c>
      <c r="G1386" t="n">
        <v>0.6852139486325722</v>
      </c>
      <c r="H1386" t="n">
        <v>0.0075446512574243</v>
      </c>
      <c r="I1386" t="n">
        <v>0.9161952159319012</v>
      </c>
      <c r="J1386" t="n">
        <v>0.1715753036562374</v>
      </c>
      <c r="K1386" t="n">
        <v>0.1680035165243258</v>
      </c>
      <c r="L1386" t="b">
        <v>0</v>
      </c>
      <c r="M1386" t="b">
        <v>0</v>
      </c>
      <c r="N1386" t="inlineStr">
        <is>
          <t>ref</t>
        </is>
      </c>
      <c r="O1386" t="n">
        <v>95</v>
      </c>
      <c r="P1386" t="n">
        <v>0.01689</v>
      </c>
      <c r="Q1386" t="n">
        <v>70</v>
      </c>
      <c r="R1386" t="n">
        <v>0.2021</v>
      </c>
      <c r="S1386">
        <f>IMAGE("https://mitra.stanford.edu/kundaje/oak/projects/neuro-variants/variant_position/credible/roussos_2024/variant_figures/roussos_2024.childhood.GLU/rs56142463_count_position.png",4,220,900)</f>
        <v/>
      </c>
      <c r="T1386">
        <f>IMAGE("https://mitra.stanford.edu/kundaje/oak/projects/neuro-variants/variant_position/credible/roussos_2024/variant_figures/roussos_2024.childhood.GLU/rs56142463_profile_position.png",4,220,900)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0.0727180551999999</v>
      </c>
      <c r="G1387" t="n">
        <v>0.08524718902824011</v>
      </c>
      <c r="H1387" t="n">
        <v>0.0164141338886392</v>
      </c>
      <c r="I1387" t="n">
        <v>0.195504147941796</v>
      </c>
      <c r="J1387" t="n">
        <v>0.5697950899893888</v>
      </c>
      <c r="K1387" t="n">
        <v>0.0308328399613597</v>
      </c>
      <c r="L1387" t="b">
        <v>0</v>
      </c>
      <c r="M1387" t="b">
        <v>0</v>
      </c>
      <c r="N1387" t="inlineStr">
        <is>
          <t>alt</t>
        </is>
      </c>
      <c r="O1387" t="n">
        <v>55</v>
      </c>
      <c r="P1387" t="n">
        <v>0.003792</v>
      </c>
      <c r="Q1387" t="n">
        <v>45</v>
      </c>
      <c r="R1387" t="n">
        <v>0.06287</v>
      </c>
      <c r="S1387">
        <f>IMAGE("https://mitra.stanford.edu/kundaje/oak/projects/neuro-variants/variant_position/credible/roussos_2024/variant_figures/roussos_2024.childhood.GLU/rs12051021_count_position.png",4,220,900)</f>
        <v/>
      </c>
      <c r="T1387">
        <f>IMAGE("https://mitra.stanford.edu/kundaje/oak/projects/neuro-variants/variant_position/credible/roussos_2024/variant_figures/roussos_2024.childhood.GLU/rs12051021_profile_position.png",4,220,900)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-0.00208860284</v>
      </c>
      <c r="G1388" t="n">
        <v>0.8329878883603929</v>
      </c>
      <c r="H1388" t="n">
        <v>0.0080446237919055</v>
      </c>
      <c r="I1388" t="n">
        <v>0.8650912558341627</v>
      </c>
      <c r="J1388" t="n">
        <v>0.2193866092492813</v>
      </c>
      <c r="K1388" t="n">
        <v>0.1364609385421538</v>
      </c>
      <c r="L1388" t="b">
        <v>0</v>
      </c>
      <c r="M1388" t="b">
        <v>0</v>
      </c>
      <c r="N1388" t="inlineStr">
        <is>
          <t>ref</t>
        </is>
      </c>
      <c r="O1388" t="n">
        <v>40</v>
      </c>
      <c r="P1388" t="n">
        <v>0.002743</v>
      </c>
      <c r="Q1388" t="n">
        <v>-100</v>
      </c>
      <c r="R1388" t="n">
        <v>0.08777</v>
      </c>
      <c r="S1388">
        <f>IMAGE("https://mitra.stanford.edu/kundaje/oak/projects/neuro-variants/variant_position/credible/roussos_2024/variant_figures/roussos_2024.childhood.GLU/rs17143361_count_position.png",4,220,900)</f>
        <v/>
      </c>
      <c r="T1388">
        <f>IMAGE("https://mitra.stanford.edu/kundaje/oak/projects/neuro-variants/variant_position/credible/roussos_2024/variant_figures/roussos_2024.childhood.GLU/rs17143361_profile_position.png",4,220,900)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0.0380663344</v>
      </c>
      <c r="G1389" t="n">
        <v>0.2555870524736568</v>
      </c>
      <c r="H1389" t="n">
        <v>0.020052854114341</v>
      </c>
      <c r="I1389" t="n">
        <v>0.096437590921249</v>
      </c>
      <c r="J1389" t="n">
        <v>0.0143303079316348</v>
      </c>
      <c r="K1389" t="n">
        <v>0.5384595281779891</v>
      </c>
      <c r="L1389" t="b">
        <v>0</v>
      </c>
      <c r="M1389" t="b">
        <v>0</v>
      </c>
      <c r="N1389" t="inlineStr">
        <is>
          <t>alt</t>
        </is>
      </c>
      <c r="O1389" t="n">
        <v>5</v>
      </c>
      <c r="P1389" t="n">
        <v>0.001564</v>
      </c>
      <c r="Q1389" t="n">
        <v>80</v>
      </c>
      <c r="R1389" t="n">
        <v>0.04816</v>
      </c>
      <c r="S1389">
        <f>IMAGE("https://mitra.stanford.edu/kundaje/oak/projects/neuro-variants/variant_position/credible/roussos_2024/variant_figures/roussos_2024.childhood.GLU/rs4331351_count_position.png",4,220,900)</f>
        <v/>
      </c>
      <c r="T1389">
        <f>IMAGE("https://mitra.stanford.edu/kundaje/oak/projects/neuro-variants/variant_position/credible/roussos_2024/variant_figures/roussos_2024.childhood.GLU/rs4331351_profile_position.png",4,220,900)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0.0398361578</v>
      </c>
      <c r="G1390" t="n">
        <v>0.2390644168512534</v>
      </c>
      <c r="H1390" t="n">
        <v>0.010396663360472</v>
      </c>
      <c r="I1390" t="n">
        <v>0.6049712310511705</v>
      </c>
      <c r="J1390" t="n">
        <v>0.1539040044505341</v>
      </c>
      <c r="K1390" t="n">
        <v>0.1837682620954723</v>
      </c>
      <c r="L1390" t="b">
        <v>0</v>
      </c>
      <c r="M1390" t="b">
        <v>0</v>
      </c>
      <c r="N1390" t="inlineStr">
        <is>
          <t>alt</t>
        </is>
      </c>
      <c r="O1390" t="n">
        <v>-75</v>
      </c>
      <c r="P1390" t="n">
        <v>0.014755</v>
      </c>
      <c r="Q1390" t="n">
        <v>10</v>
      </c>
      <c r="R1390" t="n">
        <v>0.01367</v>
      </c>
      <c r="S1390">
        <f>IMAGE("https://mitra.stanford.edu/kundaje/oak/projects/neuro-variants/variant_position/credible/roussos_2024/variant_figures/roussos_2024.childhood.GLU/rs4479249_count_position.png",4,220,900)</f>
        <v/>
      </c>
      <c r="T1390">
        <f>IMAGE("https://mitra.stanford.edu/kundaje/oak/projects/neuro-variants/variant_position/credible/roussos_2024/variant_figures/roussos_2024.childhood.GLU/rs4479249_profile_position.png",4,220,900)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-0.1152746896799999</v>
      </c>
      <c r="G1391" t="n">
        <v>0.0434778601843588</v>
      </c>
      <c r="H1391" t="n">
        <v>0.0251878090998219</v>
      </c>
      <c r="I1391" t="n">
        <v>0.0499891557203369</v>
      </c>
      <c r="J1391" t="n">
        <v>0.1816127005058361</v>
      </c>
      <c r="K1391" t="n">
        <v>0.1637918829813162</v>
      </c>
      <c r="L1391" t="b">
        <v>0</v>
      </c>
      <c r="M1391" t="b">
        <v>0</v>
      </c>
      <c r="N1391" t="inlineStr">
        <is>
          <t>ref</t>
        </is>
      </c>
      <c r="O1391" t="n">
        <v>-35</v>
      </c>
      <c r="P1391" t="n">
        <v>0.00499</v>
      </c>
      <c r="Q1391" t="n">
        <v>35</v>
      </c>
      <c r="R1391" t="n">
        <v>0.1367</v>
      </c>
      <c r="S1391">
        <f>IMAGE("https://mitra.stanford.edu/kundaje/oak/projects/neuro-variants/variant_position/credible/roussos_2024/variant_figures/roussos_2024.childhood.GLU/rs4787008_count_position.png",4,220,900)</f>
        <v/>
      </c>
      <c r="T1391">
        <f>IMAGE("https://mitra.stanford.edu/kundaje/oak/projects/neuro-variants/variant_position/credible/roussos_2024/variant_figures/roussos_2024.childhood.GLU/rs4787008_profile_position.png",4,220,900)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0.0126761553199999</v>
      </c>
      <c r="G1392" t="n">
        <v>0.3235848350586782</v>
      </c>
      <c r="H1392" t="n">
        <v>0.0159841236850578</v>
      </c>
      <c r="I1392" t="n">
        <v>0.2162212392918254</v>
      </c>
      <c r="J1392" t="n">
        <v>0.08660821906518169</v>
      </c>
      <c r="K1392" t="n">
        <v>0.2667144771822869</v>
      </c>
      <c r="L1392" t="b">
        <v>0</v>
      </c>
      <c r="M1392" t="b">
        <v>0</v>
      </c>
      <c r="N1392" t="inlineStr">
        <is>
          <t>alt</t>
        </is>
      </c>
      <c r="O1392" t="n">
        <v>-65</v>
      </c>
      <c r="P1392" t="n">
        <v>0.001511</v>
      </c>
      <c r="Q1392" t="n">
        <v>5</v>
      </c>
      <c r="R1392" t="n">
        <v>0.00708</v>
      </c>
      <c r="S1392">
        <f>IMAGE("https://mitra.stanford.edu/kundaje/oak/projects/neuro-variants/variant_position/credible/roussos_2024/variant_figures/roussos_2024.childhood.GLU/rs8055816_count_position.png",4,220,900)</f>
        <v/>
      </c>
      <c r="T1392">
        <f>IMAGE("https://mitra.stanford.edu/kundaje/oak/projects/neuro-variants/variant_position/credible/roussos_2024/variant_figures/roussos_2024.childhood.GLU/rs8055816_profile_position.png",4,220,900)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0.0286674618</v>
      </c>
      <c r="G1393" t="n">
        <v>0.3458389844646426</v>
      </c>
      <c r="H1393" t="n">
        <v>0.009226002512643199</v>
      </c>
      <c r="I1393" t="n">
        <v>0.7483756738220332</v>
      </c>
      <c r="J1393" t="n">
        <v>0.0143931511224205</v>
      </c>
      <c r="K1393" t="n">
        <v>0.5478775468130654</v>
      </c>
      <c r="L1393" t="b">
        <v>0</v>
      </c>
      <c r="M1393" t="b">
        <v>0</v>
      </c>
      <c r="N1393" t="inlineStr">
        <is>
          <t>alt</t>
        </is>
      </c>
      <c r="O1393" t="n">
        <v>100</v>
      </c>
      <c r="P1393" t="n">
        <v>0.01634</v>
      </c>
      <c r="Q1393" t="n">
        <v>85</v>
      </c>
      <c r="R1393" t="n">
        <v>0.1492</v>
      </c>
      <c r="S1393">
        <f>IMAGE("https://mitra.stanford.edu/kundaje/oak/projects/neuro-variants/variant_position/credible/roussos_2024/variant_figures/roussos_2024.childhood.GLU/rs2077923_count_position.png",4,220,900)</f>
        <v/>
      </c>
      <c r="T1393">
        <f>IMAGE("https://mitra.stanford.edu/kundaje/oak/projects/neuro-variants/variant_position/credible/roussos_2024/variant_figures/roussos_2024.childhood.GLU/rs2077923_profile_position.png",4,220,900)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-0.0374078634</v>
      </c>
      <c r="G1394" t="n">
        <v>0.269588841066722</v>
      </c>
      <c r="H1394" t="n">
        <v>0.0108494274860294</v>
      </c>
      <c r="I1394" t="n">
        <v>0.5649467617478698</v>
      </c>
      <c r="J1394" t="n">
        <v>0.0504362965786518</v>
      </c>
      <c r="K1394" t="n">
        <v>0.3494876606064063</v>
      </c>
      <c r="L1394" t="b">
        <v>0</v>
      </c>
      <c r="M1394" t="b">
        <v>0</v>
      </c>
      <c r="N1394" t="inlineStr">
        <is>
          <t>ref</t>
        </is>
      </c>
      <c r="O1394" t="n">
        <v>-95</v>
      </c>
      <c r="P1394" t="n">
        <v>0.002632</v>
      </c>
      <c r="Q1394" t="n">
        <v>-95</v>
      </c>
      <c r="R1394" t="n">
        <v>0.0862</v>
      </c>
      <c r="S1394">
        <f>IMAGE("https://mitra.stanford.edu/kundaje/oak/projects/neuro-variants/variant_position/credible/roussos_2024/variant_figures/roussos_2024.childhood.GLU/rs2267787_count_position.png",4,220,900)</f>
        <v/>
      </c>
      <c r="T1394">
        <f>IMAGE("https://mitra.stanford.edu/kundaje/oak/projects/neuro-variants/variant_position/credible/roussos_2024/variant_figures/roussos_2024.childhood.GLU/rs2267787_profile_position.png",4,220,900)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-0.009579385540000001</v>
      </c>
      <c r="G1395" t="n">
        <v>0.5353050124773527</v>
      </c>
      <c r="H1395" t="n">
        <v>0.0163560164403532</v>
      </c>
      <c r="I1395" t="n">
        <v>0.1894972121571129</v>
      </c>
      <c r="J1395" t="n">
        <v>0.0124182265857602</v>
      </c>
      <c r="K1395" t="n">
        <v>0.5554831310719223</v>
      </c>
      <c r="L1395" t="b">
        <v>0</v>
      </c>
      <c r="M1395" t="b">
        <v>0</v>
      </c>
      <c r="N1395" t="inlineStr">
        <is>
          <t>ref</t>
        </is>
      </c>
      <c r="O1395" t="n">
        <v>75</v>
      </c>
      <c r="P1395" t="n">
        <v>0.002125</v>
      </c>
      <c r="Q1395" t="n">
        <v>20</v>
      </c>
      <c r="R1395" t="n">
        <v>0.04218</v>
      </c>
      <c r="S1395">
        <f>IMAGE("https://mitra.stanford.edu/kundaje/oak/projects/neuro-variants/variant_position/credible/roussos_2024/variant_figures/roussos_2024.childhood.GLU/rs7195942_count_position.png",4,220,900)</f>
        <v/>
      </c>
      <c r="T1395">
        <f>IMAGE("https://mitra.stanford.edu/kundaje/oak/projects/neuro-variants/variant_position/credible/roussos_2024/variant_figures/roussos_2024.childhood.GLU/rs7195942_profile_position.png",4,220,900)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0.0139945631999999</v>
      </c>
      <c r="G1396" t="n">
        <v>0.5469684541406751</v>
      </c>
      <c r="H1396" t="n">
        <v>0.0182958588793063</v>
      </c>
      <c r="I1396" t="n">
        <v>0.1331481928025231</v>
      </c>
      <c r="J1396" t="n">
        <v>0.0043238175693077</v>
      </c>
      <c r="K1396" t="n">
        <v>0.6861838906854127</v>
      </c>
      <c r="L1396" t="b">
        <v>0</v>
      </c>
      <c r="M1396" t="b">
        <v>0</v>
      </c>
      <c r="N1396" t="inlineStr">
        <is>
          <t>alt</t>
        </is>
      </c>
      <c r="O1396" t="n">
        <v>-90</v>
      </c>
      <c r="P1396" t="n">
        <v>0.004013</v>
      </c>
      <c r="Q1396" t="n">
        <v>-70</v>
      </c>
      <c r="R1396" t="n">
        <v>0.0242</v>
      </c>
      <c r="S1396">
        <f>IMAGE("https://mitra.stanford.edu/kundaje/oak/projects/neuro-variants/variant_position/credible/roussos_2024/variant_figures/roussos_2024.childhood.GLU/rs7195835_count_position.png",4,220,900)</f>
        <v/>
      </c>
      <c r="T1396">
        <f>IMAGE("https://mitra.stanford.edu/kundaje/oak/projects/neuro-variants/variant_position/credible/roussos_2024/variant_figures/roussos_2024.childhood.GLU/rs7195835_profile_position.png",4,220,900)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-0.02064297054</v>
      </c>
      <c r="G1397" t="n">
        <v>0.4737594483806537</v>
      </c>
      <c r="H1397" t="n">
        <v>0.0111819128395846</v>
      </c>
      <c r="I1397" t="n">
        <v>0.5340452993996677</v>
      </c>
      <c r="J1397" t="n">
        <v>0.0071754561282412</v>
      </c>
      <c r="K1397" t="n">
        <v>0.6282240937386937</v>
      </c>
      <c r="L1397" t="b">
        <v>0</v>
      </c>
      <c r="M1397" t="b">
        <v>0</v>
      </c>
      <c r="N1397" t="inlineStr">
        <is>
          <t>ref</t>
        </is>
      </c>
      <c r="O1397" t="n">
        <v>20</v>
      </c>
      <c r="P1397" t="n">
        <v>0.001373</v>
      </c>
      <c r="Q1397" t="n">
        <v>100</v>
      </c>
      <c r="R1397" t="n">
        <v>0.1174</v>
      </c>
      <c r="S1397">
        <f>IMAGE("https://mitra.stanford.edu/kundaje/oak/projects/neuro-variants/variant_position/credible/roussos_2024/variant_figures/roussos_2024.childhood.GLU/rs7196962_count_position.png",4,220,900)</f>
        <v/>
      </c>
      <c r="T1397">
        <f>IMAGE("https://mitra.stanford.edu/kundaje/oak/projects/neuro-variants/variant_position/credible/roussos_2024/variant_figures/roussos_2024.childhood.GLU/rs7196962_profile_position.png",4,220,900)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-0.226462906</v>
      </c>
      <c r="G1398" t="n">
        <v>0.0053837278106128</v>
      </c>
      <c r="H1398" t="n">
        <v>0.0445681359112119</v>
      </c>
      <c r="I1398" t="n">
        <v>0.0044355130238692</v>
      </c>
      <c r="J1398" t="n">
        <v>0.0073536835381746</v>
      </c>
      <c r="K1398" t="n">
        <v>0.6250676864930328</v>
      </c>
      <c r="L1398" t="b">
        <v>1</v>
      </c>
      <c r="M1398" t="b">
        <v>1</v>
      </c>
      <c r="N1398" t="inlineStr">
        <is>
          <t>ref</t>
        </is>
      </c>
      <c r="O1398" t="n">
        <v>10</v>
      </c>
      <c r="P1398" t="n">
        <v>0.0004349</v>
      </c>
      <c r="Q1398" t="n">
        <v>30</v>
      </c>
      <c r="R1398" t="n">
        <v>0.0349</v>
      </c>
      <c r="S1398">
        <f>IMAGE("https://mitra.stanford.edu/kundaje/oak/projects/neuro-variants/variant_position/credible/roussos_2024/variant_figures/roussos_2024.childhood.GLU/rs7197004_count_position.png",4,220,900)</f>
        <v/>
      </c>
      <c r="T1398">
        <f>IMAGE("https://mitra.stanford.edu/kundaje/oak/projects/neuro-variants/variant_position/credible/roussos_2024/variant_figures/roussos_2024.childhood.GLU/rs7197004_profile_position.png",4,220,900)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-0.010391543</v>
      </c>
      <c r="G1399" t="n">
        <v>0.5662092361530273</v>
      </c>
      <c r="H1399" t="n">
        <v>0.0154927637335875</v>
      </c>
      <c r="I1399" t="n">
        <v>0.2284635631891216</v>
      </c>
      <c r="J1399" t="n">
        <v>0.0101816271235331</v>
      </c>
      <c r="K1399" t="n">
        <v>0.582856657669498</v>
      </c>
      <c r="L1399" t="b">
        <v>0</v>
      </c>
      <c r="M1399" t="b">
        <v>0</v>
      </c>
      <c r="N1399" t="inlineStr">
        <is>
          <t>ref</t>
        </is>
      </c>
      <c r="O1399" t="n">
        <v>-100</v>
      </c>
      <c r="P1399" t="n">
        <v>0.01167</v>
      </c>
      <c r="Q1399" t="n">
        <v>-95</v>
      </c>
      <c r="R1399" t="n">
        <v>0.1155</v>
      </c>
      <c r="S1399">
        <f>IMAGE("https://mitra.stanford.edu/kundaje/oak/projects/neuro-variants/variant_position/credible/roussos_2024/variant_figures/roussos_2024.childhood.GLU/rs9972744_count_position.png",4,220,900)</f>
        <v/>
      </c>
      <c r="T1399">
        <f>IMAGE("https://mitra.stanford.edu/kundaje/oak/projects/neuro-variants/variant_position/credible/roussos_2024/variant_figures/roussos_2024.childhood.GLU/rs9972744_profile_position.png",4,220,900)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0.00197214638</v>
      </c>
      <c r="G1400" t="n">
        <v>0.8499801336138625</v>
      </c>
      <c r="H1400" t="n">
        <v>0.0213996216663885</v>
      </c>
      <c r="I1400" t="n">
        <v>0.0819812308062776</v>
      </c>
      <c r="J1400" t="n">
        <v>0.2474486694757229</v>
      </c>
      <c r="K1400" t="n">
        <v>0.1210973228346125</v>
      </c>
      <c r="L1400" t="b">
        <v>0</v>
      </c>
      <c r="M1400" t="b">
        <v>0</v>
      </c>
      <c r="N1400" t="inlineStr">
        <is>
          <t>alt</t>
        </is>
      </c>
      <c r="O1400" t="n">
        <v>-85</v>
      </c>
      <c r="P1400" t="n">
        <v>0.01172</v>
      </c>
      <c r="Q1400" t="n">
        <v>-100</v>
      </c>
      <c r="R1400" t="n">
        <v>0.10315</v>
      </c>
      <c r="S1400">
        <f>IMAGE("https://mitra.stanford.edu/kundaje/oak/projects/neuro-variants/variant_position/credible/roussos_2024/variant_figures/roussos_2024.childhood.GLU/rs11648283_count_position.png",4,220,900)</f>
        <v/>
      </c>
      <c r="T1400">
        <f>IMAGE("https://mitra.stanford.edu/kundaje/oak/projects/neuro-variants/variant_position/credible/roussos_2024/variant_figures/roussos_2024.childhood.GLU/rs11648283_profile_position.png",4,220,900)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0.0061994394</v>
      </c>
      <c r="G1401" t="n">
        <v>0.4830684304322279</v>
      </c>
      <c r="H1401" t="n">
        <v>0.0119789855309464</v>
      </c>
      <c r="I1401" t="n">
        <v>0.4549132873133998</v>
      </c>
      <c r="J1401" t="n">
        <v>0.0116435039714835</v>
      </c>
      <c r="K1401" t="n">
        <v>0.5651785446167434</v>
      </c>
      <c r="L1401" t="b">
        <v>0</v>
      </c>
      <c r="M1401" t="b">
        <v>0</v>
      </c>
      <c r="N1401" t="inlineStr">
        <is>
          <t>alt</t>
        </is>
      </c>
      <c r="O1401" t="n">
        <v>15</v>
      </c>
      <c r="P1401" t="n">
        <v>0.0007935</v>
      </c>
      <c r="Q1401" t="n">
        <v>5</v>
      </c>
      <c r="R1401" t="n">
        <v>0.002625</v>
      </c>
      <c r="S1401">
        <f>IMAGE("https://mitra.stanford.edu/kundaje/oak/projects/neuro-variants/variant_position/credible/roussos_2024/variant_figures/roussos_2024.childhood.GLU/rs9930307_count_position.png",4,220,900)</f>
        <v/>
      </c>
      <c r="T1401">
        <f>IMAGE("https://mitra.stanford.edu/kundaje/oak/projects/neuro-variants/variant_position/credible/roussos_2024/variant_figures/roussos_2024.childhood.GLU/rs9930307_profile_position.png",4,220,900)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0.03113744074</v>
      </c>
      <c r="G1402" t="n">
        <v>0.306608081143667</v>
      </c>
      <c r="H1402" t="n">
        <v>0.0142340152758928</v>
      </c>
      <c r="I1402" t="n">
        <v>0.2996757574465885</v>
      </c>
      <c r="J1402" t="n">
        <v>0.0135205579651168</v>
      </c>
      <c r="K1402" t="n">
        <v>0.5449657602980365</v>
      </c>
      <c r="L1402" t="b">
        <v>0</v>
      </c>
      <c r="M1402" t="b">
        <v>0</v>
      </c>
      <c r="N1402" t="inlineStr">
        <is>
          <t>alt</t>
        </is>
      </c>
      <c r="O1402" t="n">
        <v>-70</v>
      </c>
      <c r="P1402" t="n">
        <v>0.004692</v>
      </c>
      <c r="Q1402" t="n">
        <v>-70</v>
      </c>
      <c r="R1402" t="n">
        <v>0.09576</v>
      </c>
      <c r="S1402">
        <f>IMAGE("https://mitra.stanford.edu/kundaje/oak/projects/neuro-variants/variant_position/credible/roussos_2024/variant_figures/roussos_2024.childhood.GLU/rs9940856_count_position.png",4,220,900)</f>
        <v/>
      </c>
      <c r="T1402">
        <f>IMAGE("https://mitra.stanford.edu/kundaje/oak/projects/neuro-variants/variant_position/credible/roussos_2024/variant_figures/roussos_2024.childhood.GLU/rs9940856_profile_position.png",4,220,900)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-0.00950782386</v>
      </c>
      <c r="G1403" t="n">
        <v>0.5874378808062147</v>
      </c>
      <c r="H1403" t="n">
        <v>0.0237497446910309</v>
      </c>
      <c r="I1403" t="n">
        <v>0.053628588561964</v>
      </c>
      <c r="J1403" t="n">
        <v>0.0210009581011053</v>
      </c>
      <c r="K1403" t="n">
        <v>0.4872874405280124</v>
      </c>
      <c r="L1403" t="b">
        <v>0</v>
      </c>
      <c r="M1403" t="b">
        <v>0</v>
      </c>
      <c r="N1403" t="inlineStr">
        <is>
          <t>ref</t>
        </is>
      </c>
      <c r="O1403" t="n">
        <v>-100</v>
      </c>
      <c r="P1403" t="n">
        <v>0.01417</v>
      </c>
      <c r="Q1403" t="n">
        <v>-95</v>
      </c>
      <c r="R1403" t="n">
        <v>0.02914</v>
      </c>
      <c r="S1403">
        <f>IMAGE("https://mitra.stanford.edu/kundaje/oak/projects/neuro-variants/variant_position/credible/roussos_2024/variant_figures/roussos_2024.childhood.GLU/rs7184107_count_position.png",4,220,900)</f>
        <v/>
      </c>
      <c r="T1403">
        <f>IMAGE("https://mitra.stanford.edu/kundaje/oak/projects/neuro-variants/variant_position/credible/roussos_2024/variant_figures/roussos_2024.childhood.GLU/rs7184107_profile_position.png",4,220,900)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-0.2868875</v>
      </c>
      <c r="G1404" t="n">
        <v>0.0025809490262825</v>
      </c>
      <c r="H1404" t="n">
        <v>0.0417182966561799</v>
      </c>
      <c r="I1404" t="n">
        <v>0.0058895400294947</v>
      </c>
      <c r="J1404" t="n">
        <v>0.0720358103165854</v>
      </c>
      <c r="K1404" t="n">
        <v>0.294203420942315</v>
      </c>
      <c r="L1404" t="b">
        <v>1</v>
      </c>
      <c r="M1404" t="b">
        <v>1</v>
      </c>
      <c r="N1404" t="inlineStr">
        <is>
          <t>ref</t>
        </is>
      </c>
      <c r="O1404" t="n">
        <v>-100</v>
      </c>
      <c r="P1404" t="n">
        <v>0.02402</v>
      </c>
      <c r="Q1404" t="n">
        <v>10</v>
      </c>
      <c r="R1404" t="n">
        <v>0.010254</v>
      </c>
      <c r="S1404">
        <f>IMAGE("https://mitra.stanford.edu/kundaje/oak/projects/neuro-variants/variant_position/credible/roussos_2024/variant_figures/roussos_2024.childhood.GLU/rs10468229_count_position.png",4,220,900)</f>
        <v/>
      </c>
      <c r="T1404">
        <f>IMAGE("https://mitra.stanford.edu/kundaje/oak/projects/neuro-variants/variant_position/credible/roussos_2024/variant_figures/roussos_2024.childhood.GLU/rs10468229_profile_position.png",4,220,900)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0.06305794428</v>
      </c>
      <c r="G1405" t="n">
        <v>0.1412186988545244</v>
      </c>
      <c r="H1405" t="n">
        <v>0.0156412455628275</v>
      </c>
      <c r="I1405" t="n">
        <v>0.2248767114965956</v>
      </c>
      <c r="J1405" t="n">
        <v>0.0076658390596185</v>
      </c>
      <c r="K1405" t="n">
        <v>0.6205802728470045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0.003357</v>
      </c>
      <c r="Q1405" t="n">
        <v>90</v>
      </c>
      <c r="R1405" t="n">
        <v>0.1089</v>
      </c>
      <c r="S1405">
        <f>IMAGE("https://mitra.stanford.edu/kundaje/oak/projects/neuro-variants/variant_position/credible/roussos_2024/variant_figures/roussos_2024.childhood.GLU/rs11649466_count_position.png",4,220,900)</f>
        <v/>
      </c>
      <c r="T1405">
        <f>IMAGE("https://mitra.stanford.edu/kundaje/oak/projects/neuro-variants/variant_position/credible/roussos_2024/variant_figures/roussos_2024.childhood.GLU/rs11649466_profile_position.png",4,220,900)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-0.01165059324</v>
      </c>
      <c r="G1406" t="n">
        <v>0.6242425388501108</v>
      </c>
      <c r="H1406" t="n">
        <v>0.0070017042339919</v>
      </c>
      <c r="I1406" t="n">
        <v>0.9431963273705796</v>
      </c>
      <c r="J1406" t="n">
        <v>0.0156232293158333</v>
      </c>
      <c r="K1406" t="n">
        <v>0.5306652893091329</v>
      </c>
      <c r="L1406" t="b">
        <v>0</v>
      </c>
      <c r="M1406" t="b">
        <v>0</v>
      </c>
      <c r="N1406" t="inlineStr">
        <is>
          <t>ref</t>
        </is>
      </c>
      <c r="O1406" t="n">
        <v>-100</v>
      </c>
      <c r="P1406" t="n">
        <v>0.004364</v>
      </c>
      <c r="Q1406" t="n">
        <v>95</v>
      </c>
      <c r="R1406" t="n">
        <v>0.02573</v>
      </c>
      <c r="S1406">
        <f>IMAGE("https://mitra.stanford.edu/kundaje/oak/projects/neuro-variants/variant_position/credible/roussos_2024/variant_figures/roussos_2024.childhood.GLU/rs11645219_count_position.png",4,220,900)</f>
        <v/>
      </c>
      <c r="T1406">
        <f>IMAGE("https://mitra.stanford.edu/kundaje/oak/projects/neuro-variants/variant_position/credible/roussos_2024/variant_figures/roussos_2024.childhood.GLU/rs11645219_profile_position.png",4,220,900)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-0.005534136734</v>
      </c>
      <c r="G1407" t="n">
        <v>0.7543386652091475</v>
      </c>
      <c r="H1407" t="n">
        <v>0.0282435720109329</v>
      </c>
      <c r="I1407" t="n">
        <v>0.0284922308495168</v>
      </c>
      <c r="J1407" t="n">
        <v>0.3650251887871264</v>
      </c>
      <c r="K1407" t="n">
        <v>0.0745859250237656</v>
      </c>
      <c r="L1407" t="b">
        <v>0</v>
      </c>
      <c r="M1407" t="b">
        <v>0</v>
      </c>
      <c r="N1407" t="inlineStr">
        <is>
          <t>ref</t>
        </is>
      </c>
      <c r="O1407" t="n">
        <v>-100</v>
      </c>
      <c r="P1407" t="n">
        <v>0.276</v>
      </c>
      <c r="Q1407" t="n">
        <v>-100</v>
      </c>
      <c r="R1407" t="n">
        <v>0.3262</v>
      </c>
      <c r="S1407">
        <f>IMAGE("https://mitra.stanford.edu/kundaje/oak/projects/neuro-variants/variant_position/credible/roussos_2024/variant_figures/roussos_2024.childhood.GLU/rs1420042_count_position.png",4,220,900)</f>
        <v/>
      </c>
      <c r="T1407">
        <f>IMAGE("https://mitra.stanford.edu/kundaje/oak/projects/neuro-variants/variant_position/credible/roussos_2024/variant_figures/roussos_2024.childhood.GLU/rs1420042_profile_position.png",4,220,900)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0.0279645049</v>
      </c>
      <c r="G1408" t="n">
        <v>0.3734331150210378</v>
      </c>
      <c r="H1408" t="n">
        <v>0.0109151822485358</v>
      </c>
      <c r="I1408" t="n">
        <v>0.5619271999281997</v>
      </c>
      <c r="J1408" t="n">
        <v>0.3983722583370249</v>
      </c>
      <c r="K1408" t="n">
        <v>0.0652379506499733</v>
      </c>
      <c r="L1408" t="b">
        <v>0</v>
      </c>
      <c r="M1408" t="b">
        <v>0</v>
      </c>
      <c r="N1408" t="inlineStr">
        <is>
          <t>alt</t>
        </is>
      </c>
      <c r="O1408" t="n">
        <v>100</v>
      </c>
      <c r="P1408" t="n">
        <v>0.00759</v>
      </c>
      <c r="Q1408" t="n">
        <v>95</v>
      </c>
      <c r="R1408" t="n">
        <v>0.1383</v>
      </c>
      <c r="S1408">
        <f>IMAGE("https://mitra.stanford.edu/kundaje/oak/projects/neuro-variants/variant_position/credible/roussos_2024/variant_figures/roussos_2024.childhood.GLU/rs7196708_count_position.png",4,220,900)</f>
        <v/>
      </c>
      <c r="T1408">
        <f>IMAGE("https://mitra.stanford.edu/kundaje/oak/projects/neuro-variants/variant_position/credible/roussos_2024/variant_figures/roussos_2024.childhood.GLU/rs7196708_profile_position.png",4,220,900)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0.0545751044</v>
      </c>
      <c r="G1409" t="n">
        <v>0.1491879081737994</v>
      </c>
      <c r="H1409" t="n">
        <v>0.0108100360873459</v>
      </c>
      <c r="I1409" t="n">
        <v>0.5726014454437123</v>
      </c>
      <c r="J1409" t="n">
        <v>0.2546478205775392</v>
      </c>
      <c r="K1409" t="n">
        <v>0.1167772335488467</v>
      </c>
      <c r="L1409" t="b">
        <v>0</v>
      </c>
      <c r="M1409" t="b">
        <v>0</v>
      </c>
      <c r="N1409" t="inlineStr">
        <is>
          <t>alt</t>
        </is>
      </c>
      <c r="O1409" t="n">
        <v>45</v>
      </c>
      <c r="P1409" t="n">
        <v>0.004333</v>
      </c>
      <c r="Q1409" t="n">
        <v>-90</v>
      </c>
      <c r="R1409" t="n">
        <v>0.2588</v>
      </c>
      <c r="S1409">
        <f>IMAGE("https://mitra.stanford.edu/kundaje/oak/projects/neuro-variants/variant_position/credible/roussos_2024/variant_figures/roussos_2024.childhood.GLU/rs6497523_count_position.png",4,220,900)</f>
        <v/>
      </c>
      <c r="T1409">
        <f>IMAGE("https://mitra.stanford.edu/kundaje/oak/projects/neuro-variants/variant_position/credible/roussos_2024/variant_figures/roussos_2024.childhood.GLU/rs6497523_profile_position.png",4,220,900)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0.133214212</v>
      </c>
      <c r="G1410" t="n">
        <v>0.0231083997417852</v>
      </c>
      <c r="H1410" t="n">
        <v>0.0487883619532599</v>
      </c>
      <c r="I1410" t="n">
        <v>0.0030766635263593</v>
      </c>
      <c r="J1410" t="n">
        <v>0.0304047719616346</v>
      </c>
      <c r="K1410" t="n">
        <v>0.4266429521271596</v>
      </c>
      <c r="L1410" t="b">
        <v>1</v>
      </c>
      <c r="M1410" t="b">
        <v>0</v>
      </c>
      <c r="N1410" t="inlineStr">
        <is>
          <t>alt</t>
        </is>
      </c>
      <c r="O1410" t="n">
        <v>25</v>
      </c>
      <c r="P1410" t="n">
        <v>0.005005</v>
      </c>
      <c r="Q1410" t="n">
        <v>80</v>
      </c>
      <c r="R1410" t="n">
        <v>0.05182</v>
      </c>
      <c r="S1410">
        <f>IMAGE("https://mitra.stanford.edu/kundaje/oak/projects/neuro-variants/variant_position/credible/roussos_2024/variant_figures/roussos_2024.childhood.GLU/rs35440248_count_position.png",4,220,900)</f>
        <v/>
      </c>
      <c r="T1410">
        <f>IMAGE("https://mitra.stanford.edu/kundaje/oak/projects/neuro-variants/variant_position/credible/roussos_2024/variant_figures/roussos_2024.childhood.GLU/rs35440248_profile_position.png",4,220,900)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0.009121650679999999</v>
      </c>
      <c r="G1411" t="n">
        <v>0.6640965795980862</v>
      </c>
      <c r="H1411" t="n">
        <v>0.0263773900381209</v>
      </c>
      <c r="I1411" t="n">
        <v>0.0355308418999344</v>
      </c>
      <c r="J1411" t="n">
        <v>0.0026291118505773</v>
      </c>
      <c r="K1411" t="n">
        <v>0.800459635494525</v>
      </c>
      <c r="L1411" t="b">
        <v>0</v>
      </c>
      <c r="M1411" t="b">
        <v>0</v>
      </c>
      <c r="N1411" t="inlineStr">
        <is>
          <t>alt</t>
        </is>
      </c>
      <c r="O1411" t="n">
        <v>65</v>
      </c>
      <c r="P1411" t="n">
        <v>0.007416</v>
      </c>
      <c r="Q1411" t="n">
        <v>-70</v>
      </c>
      <c r="R1411" t="n">
        <v>0.014465</v>
      </c>
      <c r="S1411">
        <f>IMAGE("https://mitra.stanford.edu/kundaje/oak/projects/neuro-variants/variant_position/credible/roussos_2024/variant_figures/roussos_2024.childhood.GLU/rs8047364_count_position.png",4,220,900)</f>
        <v/>
      </c>
      <c r="T1411">
        <f>IMAGE("https://mitra.stanford.edu/kundaje/oak/projects/neuro-variants/variant_position/credible/roussos_2024/variant_figures/roussos_2024.childhood.GLU/rs8047364_profile_position.png",4,220,900)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-0.06265501800000001</v>
      </c>
      <c r="G1412" t="n">
        <v>0.1220615682223342</v>
      </c>
      <c r="H1412" t="n">
        <v>0.0102371093955545</v>
      </c>
      <c r="I1412" t="n">
        <v>0.6380893316488612</v>
      </c>
      <c r="J1412" t="n">
        <v>0.1704348542759124</v>
      </c>
      <c r="K1412" t="n">
        <v>0.1722647216395741</v>
      </c>
      <c r="L1412" t="b">
        <v>0</v>
      </c>
      <c r="M1412" t="b">
        <v>0</v>
      </c>
      <c r="N1412" t="inlineStr">
        <is>
          <t>ref</t>
        </is>
      </c>
      <c r="O1412" t="n">
        <v>25</v>
      </c>
      <c r="P1412" t="n">
        <v>0.005966</v>
      </c>
      <c r="Q1412" t="n">
        <v>85</v>
      </c>
      <c r="R1412" t="n">
        <v>0.07006999999999999</v>
      </c>
      <c r="S1412">
        <f>IMAGE("https://mitra.stanford.edu/kundaje/oak/projects/neuro-variants/variant_position/credible/roussos_2024/variant_figures/roussos_2024.childhood.GLU/rs9933832_count_position.png",4,220,900)</f>
        <v/>
      </c>
      <c r="T1412">
        <f>IMAGE("https://mitra.stanford.edu/kundaje/oak/projects/neuro-variants/variant_position/credible/roussos_2024/variant_figures/roussos_2024.childhood.GLU/rs9933832_profile_position.png",4,220,900)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-0.075015374</v>
      </c>
      <c r="G1413" t="n">
        <v>0.08713616569005581</v>
      </c>
      <c r="H1413" t="n">
        <v>0.0122721051419409</v>
      </c>
      <c r="I1413" t="n">
        <v>0.4204964727440738</v>
      </c>
      <c r="J1413" t="n">
        <v>0.1084797098911061</v>
      </c>
      <c r="K1413" t="n">
        <v>0.2393769146771271</v>
      </c>
      <c r="L1413" t="b">
        <v>0</v>
      </c>
      <c r="M1413" t="b">
        <v>0</v>
      </c>
      <c r="N1413" t="inlineStr">
        <is>
          <t>ref</t>
        </is>
      </c>
      <c r="O1413" t="n">
        <v>-10</v>
      </c>
      <c r="P1413" t="n">
        <v>0.0003319</v>
      </c>
      <c r="Q1413" t="n">
        <v>100</v>
      </c>
      <c r="R1413" t="n">
        <v>0.1573</v>
      </c>
      <c r="S1413">
        <f>IMAGE("https://mitra.stanford.edu/kundaje/oak/projects/neuro-variants/variant_position/credible/roussos_2024/variant_figures/roussos_2024.childhood.GLU/rs727605_count_position.png",4,220,900)</f>
        <v/>
      </c>
      <c r="T1413">
        <f>IMAGE("https://mitra.stanford.edu/kundaje/oak/projects/neuro-variants/variant_position/credible/roussos_2024/variant_figures/roussos_2024.childhood.GLU/rs727605_profile_position.png",4,220,900)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-0.0153327802</v>
      </c>
      <c r="G1414" t="n">
        <v>0.5425421272744192</v>
      </c>
      <c r="H1414" t="n">
        <v>0.0206616392049621</v>
      </c>
      <c r="I1414" t="n">
        <v>0.08646774756221889</v>
      </c>
      <c r="J1414" t="n">
        <v>0.0022026023262282</v>
      </c>
      <c r="K1414" t="n">
        <v>0.7626153745500701</v>
      </c>
      <c r="L1414" t="b">
        <v>0</v>
      </c>
      <c r="M1414" t="b">
        <v>0</v>
      </c>
      <c r="N1414" t="inlineStr">
        <is>
          <t>ref</t>
        </is>
      </c>
      <c r="O1414" t="n">
        <v>70</v>
      </c>
      <c r="P1414" t="n">
        <v>0.0216</v>
      </c>
      <c r="Q1414" t="n">
        <v>60</v>
      </c>
      <c r="R1414" t="n">
        <v>0.01929</v>
      </c>
      <c r="S1414">
        <f>IMAGE("https://mitra.stanford.edu/kundaje/oak/projects/neuro-variants/variant_position/credible/roussos_2024/variant_figures/roussos_2024.childhood.GLU/rs9939815_count_position.png",4,220,900)</f>
        <v/>
      </c>
      <c r="T1414">
        <f>IMAGE("https://mitra.stanford.edu/kundaje/oak/projects/neuro-variants/variant_position/credible/roussos_2024/variant_figures/roussos_2024.childhood.GLU/rs9939815_profile_position.png",4,220,900)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-0.0367956218</v>
      </c>
      <c r="G1415" t="n">
        <v>0.2780239632909983</v>
      </c>
      <c r="H1415" t="n">
        <v>0.0366269960470682</v>
      </c>
      <c r="I1415" t="n">
        <v>0.0092639880919675</v>
      </c>
      <c r="J1415" t="n">
        <v>0.0022283577322879</v>
      </c>
      <c r="K1415" t="n">
        <v>0.761694918626202</v>
      </c>
      <c r="L1415" t="b">
        <v>0</v>
      </c>
      <c r="M1415" t="b">
        <v>0</v>
      </c>
      <c r="N1415" t="inlineStr">
        <is>
          <t>ref</t>
        </is>
      </c>
      <c r="O1415" t="n">
        <v>60</v>
      </c>
      <c r="P1415" t="n">
        <v>0.02069</v>
      </c>
      <c r="Q1415" t="n">
        <v>60</v>
      </c>
      <c r="R1415" t="n">
        <v>0.02838</v>
      </c>
      <c r="S1415">
        <f>IMAGE("https://mitra.stanford.edu/kundaje/oak/projects/neuro-variants/variant_position/credible/roussos_2024/variant_figures/roussos_2024.childhood.GLU/rs9939817_count_position.png",4,220,900)</f>
        <v/>
      </c>
      <c r="T1415">
        <f>IMAGE("https://mitra.stanford.edu/kundaje/oak/projects/neuro-variants/variant_position/credible/roussos_2024/variant_figures/roussos_2024.childhood.GLU/rs9939817_profile_position.png",4,220,900)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0.00189741146</v>
      </c>
      <c r="G1416" t="n">
        <v>0.6768474282390571</v>
      </c>
      <c r="H1416" t="n">
        <v>0.0153498976507748</v>
      </c>
      <c r="I1416" t="n">
        <v>0.2335023084574825</v>
      </c>
      <c r="J1416" t="n">
        <v>0.0023148958966486</v>
      </c>
      <c r="K1416" t="n">
        <v>0.7572260329363613</v>
      </c>
      <c r="L1416" t="b">
        <v>0</v>
      </c>
      <c r="M1416" t="b">
        <v>0</v>
      </c>
      <c r="N1416" t="inlineStr">
        <is>
          <t>alt</t>
        </is>
      </c>
      <c r="O1416" t="n">
        <v>-10</v>
      </c>
      <c r="P1416" t="n">
        <v>0.00029</v>
      </c>
      <c r="Q1416" t="n">
        <v>95</v>
      </c>
      <c r="R1416" t="n">
        <v>0.04175</v>
      </c>
      <c r="S1416">
        <f>IMAGE("https://mitra.stanford.edu/kundaje/oak/projects/neuro-variants/variant_position/credible/roussos_2024/variant_figures/roussos_2024.childhood.GLU/rs7196023_count_position.png",4,220,900)</f>
        <v/>
      </c>
      <c r="T1416">
        <f>IMAGE("https://mitra.stanford.edu/kundaje/oak/projects/neuro-variants/variant_position/credible/roussos_2024/variant_figures/roussos_2024.childhood.GLU/rs7196023_profile_position.png",4,220,900)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0.154903467</v>
      </c>
      <c r="G1417" t="n">
        <v>0.0158509436279738</v>
      </c>
      <c r="H1417" t="n">
        <v>0.0236804347172185</v>
      </c>
      <c r="I1417" t="n">
        <v>0.06535137041237329</v>
      </c>
      <c r="J1417" t="n">
        <v>0.0803558366901212</v>
      </c>
      <c r="K1417" t="n">
        <v>0.2776481273911225</v>
      </c>
      <c r="L1417" t="b">
        <v>1</v>
      </c>
      <c r="M1417" t="b">
        <v>0</v>
      </c>
      <c r="N1417" t="inlineStr">
        <is>
          <t>alt</t>
        </is>
      </c>
      <c r="O1417" t="n">
        <v>-70</v>
      </c>
      <c r="P1417" t="n">
        <v>0.002457</v>
      </c>
      <c r="Q1417" t="n">
        <v>40</v>
      </c>
      <c r="R1417" t="n">
        <v>0.09375</v>
      </c>
      <c r="S1417">
        <f>IMAGE("https://mitra.stanford.edu/kundaje/oak/projects/neuro-variants/variant_position/credible/roussos_2024/variant_figures/roussos_2024.childhood.GLU/rs16966529_count_position.png",4,220,900)</f>
        <v/>
      </c>
      <c r="T1417">
        <f>IMAGE("https://mitra.stanford.edu/kundaje/oak/projects/neuro-variants/variant_position/credible/roussos_2024/variant_figures/roussos_2024.childhood.GLU/rs16966529_profile_position.png",4,220,900)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0.0898931112</v>
      </c>
      <c r="G1418" t="n">
        <v>0.0716515499227911</v>
      </c>
      <c r="H1418" t="n">
        <v>0.0164132652995333</v>
      </c>
      <c r="I1418" t="n">
        <v>0.2054117250352405</v>
      </c>
      <c r="J1418" t="n">
        <v>0.028299009962191</v>
      </c>
      <c r="K1418" t="n">
        <v>0.4344391853421587</v>
      </c>
      <c r="L1418" t="b">
        <v>0</v>
      </c>
      <c r="M1418" t="b">
        <v>0</v>
      </c>
      <c r="N1418" t="inlineStr">
        <is>
          <t>alt</t>
        </is>
      </c>
      <c r="O1418" t="n">
        <v>100</v>
      </c>
      <c r="P1418" t="n">
        <v>0.02148</v>
      </c>
      <c r="Q1418" t="n">
        <v>75</v>
      </c>
      <c r="R1418" t="n">
        <v>0.1097</v>
      </c>
      <c r="S1418">
        <f>IMAGE("https://mitra.stanford.edu/kundaje/oak/projects/neuro-variants/variant_position/credible/roussos_2024/variant_figures/roussos_2024.childhood.GLU/rs76655943_count_position.png",4,220,900)</f>
        <v/>
      </c>
      <c r="T1418">
        <f>IMAGE("https://mitra.stanford.edu/kundaje/oak/projects/neuro-variants/variant_position/credible/roussos_2024/variant_figures/roussos_2024.childhood.GLU/rs76655943_profile_position.png",4,220,900)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0.00103981374</v>
      </c>
      <c r="G1419" t="n">
        <v>0.9190840213429402</v>
      </c>
      <c r="H1419" t="n">
        <v>0.0293927929025146</v>
      </c>
      <c r="I1419" t="n">
        <v>0.02262652190598</v>
      </c>
      <c r="J1419" t="n">
        <v>0.4112283268258007</v>
      </c>
      <c r="K1419" t="n">
        <v>0.0611648974235992</v>
      </c>
      <c r="L1419" t="b">
        <v>0</v>
      </c>
      <c r="M1419" t="b">
        <v>0</v>
      </c>
      <c r="N1419" t="inlineStr">
        <is>
          <t>alt</t>
        </is>
      </c>
      <c r="O1419" t="n">
        <v>-100</v>
      </c>
      <c r="P1419" t="n">
        <v>0.0163</v>
      </c>
      <c r="Q1419" t="n">
        <v>30</v>
      </c>
      <c r="R1419" t="n">
        <v>0.05334</v>
      </c>
      <c r="S1419">
        <f>IMAGE("https://mitra.stanford.edu/kundaje/oak/projects/neuro-variants/variant_position/credible/roussos_2024/variant_figures/roussos_2024.childhood.GLU/rs28610230_count_position.png",4,220,900)</f>
        <v/>
      </c>
      <c r="T1419">
        <f>IMAGE("https://mitra.stanford.edu/kundaje/oak/projects/neuro-variants/variant_position/credible/roussos_2024/variant_figures/roussos_2024.childhood.GLU/rs28610230_profile_position.png",4,220,900)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0.1008456388</v>
      </c>
      <c r="G1420" t="n">
        <v>0.0421232888567006</v>
      </c>
      <c r="H1420" t="n">
        <v>0.0320243941010366</v>
      </c>
      <c r="I1420" t="n">
        <v>0.0160507726849683</v>
      </c>
      <c r="J1420" t="n">
        <v>0.1819938805155201</v>
      </c>
      <c r="K1420" t="n">
        <v>0.1608114572302317</v>
      </c>
      <c r="L1420" t="b">
        <v>1</v>
      </c>
      <c r="M1420" t="b">
        <v>0</v>
      </c>
      <c r="N1420" t="inlineStr">
        <is>
          <t>alt</t>
        </is>
      </c>
      <c r="O1420" t="n">
        <v>85</v>
      </c>
      <c r="P1420" t="n">
        <v>0.000992</v>
      </c>
      <c r="Q1420" t="n">
        <v>-25</v>
      </c>
      <c r="R1420" t="n">
        <v>0.04236</v>
      </c>
      <c r="S1420">
        <f>IMAGE("https://mitra.stanford.edu/kundaje/oak/projects/neuro-variants/variant_position/credible/roussos_2024/variant_figures/roussos_2024.childhood.GLU/rs55761603_count_position.png",4,220,900)</f>
        <v/>
      </c>
      <c r="T1420">
        <f>IMAGE("https://mitra.stanford.edu/kundaje/oak/projects/neuro-variants/variant_position/credible/roussos_2024/variant_figures/roussos_2024.childhood.GLU/rs55761603_profile_position.png",4,220,900)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0.095356152</v>
      </c>
      <c r="G1421" t="n">
        <v>0.0503185229086633</v>
      </c>
      <c r="H1421" t="n">
        <v>0.0129400810942122</v>
      </c>
      <c r="I1421" t="n">
        <v>0.3753643747051272</v>
      </c>
      <c r="J1421" t="n">
        <v>0.2989481492165205</v>
      </c>
      <c r="K1421" t="n">
        <v>0.0974621192195699</v>
      </c>
      <c r="L1421" t="b">
        <v>0</v>
      </c>
      <c r="M1421" t="b">
        <v>0</v>
      </c>
      <c r="N1421" t="inlineStr">
        <is>
          <t>alt</t>
        </is>
      </c>
      <c r="O1421" t="n">
        <v>100</v>
      </c>
      <c r="P1421" t="n">
        <v>0.00635</v>
      </c>
      <c r="Q1421" t="n">
        <v>100</v>
      </c>
      <c r="R1421" t="n">
        <v>0.149</v>
      </c>
      <c r="S1421">
        <f>IMAGE("https://mitra.stanford.edu/kundaje/oak/projects/neuro-variants/variant_position/credible/roussos_2024/variant_figures/roussos_2024.childhood.GLU/rs9926924_count_position.png",4,220,900)</f>
        <v/>
      </c>
      <c r="T1421">
        <f>IMAGE("https://mitra.stanford.edu/kundaje/oak/projects/neuro-variants/variant_position/credible/roussos_2024/variant_figures/roussos_2024.childhood.GLU/rs9926924_profile_position.png",4,220,900)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-0.06537190979999991</v>
      </c>
      <c r="G1422" t="n">
        <v>0.1158796119570326</v>
      </c>
      <c r="H1422" t="n">
        <v>0.0227872307285749</v>
      </c>
      <c r="I1422" t="n">
        <v>0.0629596217831892</v>
      </c>
      <c r="J1422" t="n">
        <v>0.1455077420750615</v>
      </c>
      <c r="K1422" t="n">
        <v>0.1928570972082229</v>
      </c>
      <c r="L1422" t="b">
        <v>0</v>
      </c>
      <c r="M1422" t="b">
        <v>0</v>
      </c>
      <c r="N1422" t="inlineStr">
        <is>
          <t>ref</t>
        </is>
      </c>
      <c r="O1422" t="n">
        <v>75</v>
      </c>
      <c r="P1422" t="n">
        <v>0.001114</v>
      </c>
      <c r="Q1422" t="n">
        <v>75</v>
      </c>
      <c r="R1422" t="n">
        <v>0.03613</v>
      </c>
      <c r="S1422">
        <f>IMAGE("https://mitra.stanford.edu/kundaje/oak/projects/neuro-variants/variant_position/credible/roussos_2024/variant_figures/roussos_2024.childhood.GLU/rs2283541_count_position.png",4,220,900)</f>
        <v/>
      </c>
      <c r="T1422">
        <f>IMAGE("https://mitra.stanford.edu/kundaje/oak/projects/neuro-variants/variant_position/credible/roussos_2024/variant_figures/roussos_2024.childhood.GLU/rs2283541_profile_position.png",4,220,900)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-0.0161568652</v>
      </c>
      <c r="G1423" t="n">
        <v>0.5447409964975857</v>
      </c>
      <c r="H1423" t="n">
        <v>0.0357779093009981</v>
      </c>
      <c r="I1423" t="n">
        <v>0.0103424703722329</v>
      </c>
      <c r="J1423" t="n">
        <v>0.008812469737397801</v>
      </c>
      <c r="K1423" t="n">
        <v>0.6053599437943336</v>
      </c>
      <c r="L1423" t="b">
        <v>0</v>
      </c>
      <c r="M1423" t="b">
        <v>0</v>
      </c>
      <c r="N1423" t="inlineStr">
        <is>
          <t>ref</t>
        </is>
      </c>
      <c r="O1423" t="n">
        <v>-45</v>
      </c>
      <c r="P1423" t="n">
        <v>0.004456</v>
      </c>
      <c r="Q1423" t="n">
        <v>-40</v>
      </c>
      <c r="R1423" t="n">
        <v>0.04742</v>
      </c>
      <c r="S1423">
        <f>IMAGE("https://mitra.stanford.edu/kundaje/oak/projects/neuro-variants/variant_position/credible/roussos_2024/variant_figures/roussos_2024.childhood.GLU/rs11640574_count_position.png",4,220,900)</f>
        <v/>
      </c>
      <c r="T1423">
        <f>IMAGE("https://mitra.stanford.edu/kundaje/oak/projects/neuro-variants/variant_position/credible/roussos_2024/variant_figures/roussos_2024.childhood.GLU/rs11640574_profile_position.png",4,220,900)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-0.0616621835999999</v>
      </c>
      <c r="G1424" t="n">
        <v>0.1272228285985416</v>
      </c>
      <c r="H1424" t="n">
        <v>0.0108117722940689</v>
      </c>
      <c r="I1424" t="n">
        <v>0.5582511032261538</v>
      </c>
      <c r="J1424" t="n">
        <v>0.1695859560921837</v>
      </c>
      <c r="K1424" t="n">
        <v>0.1711614987993648</v>
      </c>
      <c r="L1424" t="b">
        <v>0</v>
      </c>
      <c r="M1424" t="b">
        <v>0</v>
      </c>
      <c r="N1424" t="inlineStr">
        <is>
          <t>ref</t>
        </is>
      </c>
      <c r="O1424" t="n">
        <v>-15</v>
      </c>
      <c r="P1424" t="n">
        <v>0.010284</v>
      </c>
      <c r="Q1424" t="n">
        <v>-40</v>
      </c>
      <c r="R1424" t="n">
        <v>0.2612</v>
      </c>
      <c r="S1424">
        <f>IMAGE("https://mitra.stanford.edu/kundaje/oak/projects/neuro-variants/variant_position/credible/roussos_2024/variant_figures/roussos_2024.childhood.GLU/rs4788197_count_position.png",4,220,900)</f>
        <v/>
      </c>
      <c r="T1424">
        <f>IMAGE("https://mitra.stanford.edu/kundaje/oak/projects/neuro-variants/variant_position/credible/roussos_2024/variant_figures/roussos_2024.childhood.GLU/rs4788197_profile_position.png",4,220,900)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0.029274675</v>
      </c>
      <c r="G1425" t="n">
        <v>0.3307392823306642</v>
      </c>
      <c r="H1425" t="n">
        <v>0.0171684452954535</v>
      </c>
      <c r="I1425" t="n">
        <v>0.1610595233796982</v>
      </c>
      <c r="J1425" t="n">
        <v>0.0898173426602243</v>
      </c>
      <c r="K1425" t="n">
        <v>0.2611288145250004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0.02344</v>
      </c>
      <c r="Q1425" t="n">
        <v>-95</v>
      </c>
      <c r="R1425" t="n">
        <v>0.03674</v>
      </c>
      <c r="S1425">
        <f>IMAGE("https://mitra.stanford.edu/kundaje/oak/projects/neuro-variants/variant_position/credible/roussos_2024/variant_figures/roussos_2024.childhood.GLU/rs4788200_count_position.png",4,220,900)</f>
        <v/>
      </c>
      <c r="T1425">
        <f>IMAGE("https://mitra.stanford.edu/kundaje/oak/projects/neuro-variants/variant_position/credible/roussos_2024/variant_figures/roussos_2024.childhood.GLU/rs4788200_profile_position.png",4,220,900)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0.010067166376</v>
      </c>
      <c r="G1426" t="n">
        <v>0.65758031829443</v>
      </c>
      <c r="H1426" t="n">
        <v>0.0184960990732652</v>
      </c>
      <c r="I1426" t="n">
        <v>0.131709165141622</v>
      </c>
      <c r="J1426" t="n">
        <v>0.1232097417247879</v>
      </c>
      <c r="K1426" t="n">
        <v>0.2160993592584032</v>
      </c>
      <c r="L1426" t="b">
        <v>0</v>
      </c>
      <c r="M1426" t="b">
        <v>0</v>
      </c>
      <c r="N1426" t="inlineStr">
        <is>
          <t>alt</t>
        </is>
      </c>
      <c r="O1426" t="n">
        <v>-75</v>
      </c>
      <c r="P1426" t="n">
        <v>0.01648</v>
      </c>
      <c r="Q1426" t="n">
        <v>60</v>
      </c>
      <c r="R1426" t="n">
        <v>0.1925</v>
      </c>
      <c r="S1426">
        <f>IMAGE("https://mitra.stanford.edu/kundaje/oak/projects/neuro-variants/variant_position/credible/roussos_2024/variant_figures/roussos_2024.childhood.GLU/rs12934406_count_position.png",4,220,900)</f>
        <v/>
      </c>
      <c r="T1426">
        <f>IMAGE("https://mitra.stanford.edu/kundaje/oak/projects/neuro-variants/variant_position/credible/roussos_2024/variant_figures/roussos_2024.childhood.GLU/rs12934406_profile_position.png",4,220,900)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0.005528924914</v>
      </c>
      <c r="G1427" t="n">
        <v>0.763886257014327</v>
      </c>
      <c r="H1427" t="n">
        <v>0.0240518836350104</v>
      </c>
      <c r="I1427" t="n">
        <v>0.0513423985087589</v>
      </c>
      <c r="J1427" t="n">
        <v>0.0702380829736161</v>
      </c>
      <c r="K1427" t="n">
        <v>0.3007692023694193</v>
      </c>
      <c r="L1427" t="b">
        <v>0</v>
      </c>
      <c r="M1427" t="b">
        <v>0</v>
      </c>
      <c r="N1427" t="inlineStr">
        <is>
          <t>alt</t>
        </is>
      </c>
      <c r="O1427" t="n">
        <v>0</v>
      </c>
      <c r="P1427" t="n">
        <v>0</v>
      </c>
      <c r="Q1427" t="n">
        <v>-100</v>
      </c>
      <c r="R1427" t="n">
        <v>0.1614</v>
      </c>
      <c r="S1427">
        <f>IMAGE("https://mitra.stanford.edu/kundaje/oak/projects/neuro-variants/variant_position/credible/roussos_2024/variant_figures/roussos_2024.childhood.GLU/rs9932196_count_position.png",4,220,900)</f>
        <v/>
      </c>
      <c r="T1427">
        <f>IMAGE("https://mitra.stanford.edu/kundaje/oak/projects/neuro-variants/variant_position/credible/roussos_2024/variant_figures/roussos_2024.childhood.GLU/rs9932196_profile_position.png",4,220,900)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-0.08301784299999999</v>
      </c>
      <c r="G1428" t="n">
        <v>0.07151881217053239</v>
      </c>
      <c r="H1428" t="n">
        <v>0.0143270444718236</v>
      </c>
      <c r="I1428" t="n">
        <v>0.2825439219563333</v>
      </c>
      <c r="J1428" t="n">
        <v>0.0546910896597195</v>
      </c>
      <c r="K1428" t="n">
        <v>0.3458337282097168</v>
      </c>
      <c r="L1428" t="b">
        <v>0</v>
      </c>
      <c r="M1428" t="b">
        <v>0</v>
      </c>
      <c r="N1428" t="inlineStr">
        <is>
          <t>ref</t>
        </is>
      </c>
      <c r="O1428" t="n">
        <v>90</v>
      </c>
      <c r="P1428" t="n">
        <v>0.001965</v>
      </c>
      <c r="Q1428" t="n">
        <v>-35</v>
      </c>
      <c r="R1428" t="n">
        <v>0.000977</v>
      </c>
      <c r="S1428">
        <f>IMAGE("https://mitra.stanford.edu/kundaje/oak/projects/neuro-variants/variant_position/credible/roussos_2024/variant_figures/roussos_2024.childhood.GLU/rs11642046_count_position.png",4,220,900)</f>
        <v/>
      </c>
      <c r="T1428">
        <f>IMAGE("https://mitra.stanford.edu/kundaje/oak/projects/neuro-variants/variant_position/credible/roussos_2024/variant_figures/roussos_2024.childhood.GLU/rs11642046_profile_position.png",4,220,900)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-0.01192646708</v>
      </c>
      <c r="G1429" t="n">
        <v>0.6232279545832627</v>
      </c>
      <c r="H1429" t="n">
        <v>0.008300041257070701</v>
      </c>
      <c r="I1429" t="n">
        <v>0.8109773024981208</v>
      </c>
      <c r="J1429" t="n">
        <v>0.6240297938537298</v>
      </c>
      <c r="K1429" t="n">
        <v>0.0233247314661903</v>
      </c>
      <c r="L1429" t="b">
        <v>0</v>
      </c>
      <c r="M1429" t="b">
        <v>0</v>
      </c>
      <c r="N1429" t="inlineStr">
        <is>
          <t>ref</t>
        </is>
      </c>
      <c r="O1429" t="n">
        <v>100</v>
      </c>
      <c r="P1429" t="n">
        <v>0.01732</v>
      </c>
      <c r="Q1429" t="n">
        <v>85</v>
      </c>
      <c r="R1429" t="n">
        <v>0.2002</v>
      </c>
      <c r="S1429">
        <f>IMAGE("https://mitra.stanford.edu/kundaje/oak/projects/neuro-variants/variant_position/credible/roussos_2024/variant_figures/roussos_2024.childhood.GLU/rs3814884_count_position.png",4,220,900)</f>
        <v/>
      </c>
      <c r="T1429">
        <f>IMAGE("https://mitra.stanford.edu/kundaje/oak/projects/neuro-variants/variant_position/credible/roussos_2024/variant_figures/roussos_2024.childhood.GLU/rs3814884_profile_position.png",4,220,900)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-0.114776044</v>
      </c>
      <c r="G1430" t="n">
        <v>0.0324068169742311</v>
      </c>
      <c r="H1430" t="n">
        <v>0.0184299145094351</v>
      </c>
      <c r="I1430" t="n">
        <v>0.1274407805407972</v>
      </c>
      <c r="J1430" t="n">
        <v>0.6040487498325898</v>
      </c>
      <c r="K1430" t="n">
        <v>0.0259705659058185</v>
      </c>
      <c r="L1430" t="b">
        <v>0</v>
      </c>
      <c r="M1430" t="b">
        <v>0</v>
      </c>
      <c r="N1430" t="inlineStr">
        <is>
          <t>ref</t>
        </is>
      </c>
      <c r="O1430" t="n">
        <v>35</v>
      </c>
      <c r="P1430" t="n">
        <v>0.001404</v>
      </c>
      <c r="Q1430" t="n">
        <v>70</v>
      </c>
      <c r="R1430" t="n">
        <v>0.02783</v>
      </c>
      <c r="S1430">
        <f>IMAGE("https://mitra.stanford.edu/kundaje/oak/projects/neuro-variants/variant_position/credible/roussos_2024/variant_figures/roussos_2024.childhood.GLU/rs3814883_count_position.png",4,220,900)</f>
        <v/>
      </c>
      <c r="T1430">
        <f>IMAGE("https://mitra.stanford.edu/kundaje/oak/projects/neuro-variants/variant_position/credible/roussos_2024/variant_figures/roussos_2024.childhood.GLU/rs3814883_profile_position.png",4,220,900)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-0.0443220332</v>
      </c>
      <c r="G1431" t="n">
        <v>0.2276048340001409</v>
      </c>
      <c r="H1431" t="n">
        <v>0.0112273659625352</v>
      </c>
      <c r="I1431" t="n">
        <v>0.5241484178341557</v>
      </c>
      <c r="J1431" t="n">
        <v>0.1207135277694787</v>
      </c>
      <c r="K1431" t="n">
        <v>0.2212665254271527</v>
      </c>
      <c r="L1431" t="b">
        <v>0</v>
      </c>
      <c r="M1431" t="b">
        <v>0</v>
      </c>
      <c r="N1431" t="inlineStr">
        <is>
          <t>ref</t>
        </is>
      </c>
      <c r="O1431" t="n">
        <v>-100</v>
      </c>
      <c r="P1431" t="n">
        <v>0.0318</v>
      </c>
      <c r="Q1431" t="n">
        <v>-75</v>
      </c>
      <c r="R1431" t="n">
        <v>0.0951</v>
      </c>
      <c r="S1431">
        <f>IMAGE("https://mitra.stanford.edu/kundaje/oak/projects/neuro-variants/variant_position/credible/roussos_2024/variant_figures/roussos_2024.childhood.GLU/rs4787489_count_position.png",4,220,900)</f>
        <v/>
      </c>
      <c r="T1431">
        <f>IMAGE("https://mitra.stanford.edu/kundaje/oak/projects/neuro-variants/variant_position/credible/roussos_2024/variant_figures/roussos_2024.childhood.GLU/rs4787489_profile_position.png",4,220,900)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0.0291412604</v>
      </c>
      <c r="G1432" t="n">
        <v>0.3322644015138629</v>
      </c>
      <c r="H1432" t="n">
        <v>0.0116665713046075</v>
      </c>
      <c r="I1432" t="n">
        <v>0.4873866810099426</v>
      </c>
      <c r="J1432" t="n">
        <v>0.5877610310404153</v>
      </c>
      <c r="K1432" t="n">
        <v>0.0281761762080577</v>
      </c>
      <c r="L1432" t="b">
        <v>0</v>
      </c>
      <c r="M1432" t="b">
        <v>0</v>
      </c>
      <c r="N1432" t="inlineStr">
        <is>
          <t>alt</t>
        </is>
      </c>
      <c r="O1432" t="n">
        <v>80</v>
      </c>
      <c r="P1432" t="n">
        <v>0.003136</v>
      </c>
      <c r="Q1432" t="n">
        <v>-100</v>
      </c>
      <c r="R1432" t="n">
        <v>0.04938</v>
      </c>
      <c r="S1432">
        <f>IMAGE("https://mitra.stanford.edu/kundaje/oak/projects/neuro-variants/variant_position/credible/roussos_2024/variant_figures/roussos_2024.childhood.GLU/rs9924686_count_position.png",4,220,900)</f>
        <v/>
      </c>
      <c r="T1432">
        <f>IMAGE("https://mitra.stanford.edu/kundaje/oak/projects/neuro-variants/variant_position/credible/roussos_2024/variant_figures/roussos_2024.childhood.GLU/rs9924686_profile_position.png",4,220,900)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0.0030265013</v>
      </c>
      <c r="G1433" t="n">
        <v>0.6482919778562466</v>
      </c>
      <c r="H1433" t="n">
        <v>0.0195701191309989</v>
      </c>
      <c r="I1433" t="n">
        <v>0.1098011791104801</v>
      </c>
      <c r="J1433" t="n">
        <v>0.263814684702319</v>
      </c>
      <c r="K1433" t="n">
        <v>0.1129192075787487</v>
      </c>
      <c r="L1433" t="b">
        <v>0</v>
      </c>
      <c r="M1433" t="b">
        <v>0</v>
      </c>
      <c r="N1433" t="inlineStr">
        <is>
          <t>alt</t>
        </is>
      </c>
      <c r="O1433" t="n">
        <v>-50</v>
      </c>
      <c r="P1433" t="n">
        <v>0.005432</v>
      </c>
      <c r="Q1433" t="n">
        <v>-70</v>
      </c>
      <c r="R1433" t="n">
        <v>0.0819</v>
      </c>
      <c r="S1433">
        <f>IMAGE("https://mitra.stanford.edu/kundaje/oak/projects/neuro-variants/variant_position/credible/roussos_2024/variant_figures/roussos_2024.childhood.GLU/rs72777107_count_position.png",4,220,900)</f>
        <v/>
      </c>
      <c r="T1433">
        <f>IMAGE("https://mitra.stanford.edu/kundaje/oak/projects/neuro-variants/variant_position/credible/roussos_2024/variant_figures/roussos_2024.childhood.GLU/rs72777107_profile_position.png",4,220,900)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-0.03940338358</v>
      </c>
      <c r="G1434" t="n">
        <v>0.2731397935636385</v>
      </c>
      <c r="H1434" t="n">
        <v>0.008398546766592499</v>
      </c>
      <c r="I1434" t="n">
        <v>0.836652110625808</v>
      </c>
      <c r="J1434" t="n">
        <v>0.2190373659431114</v>
      </c>
      <c r="K1434" t="n">
        <v>0.1364479506895995</v>
      </c>
      <c r="L1434" t="b">
        <v>0</v>
      </c>
      <c r="M1434" t="b">
        <v>0</v>
      </c>
      <c r="N1434" t="inlineStr">
        <is>
          <t>ref</t>
        </is>
      </c>
      <c r="O1434" t="n">
        <v>5</v>
      </c>
      <c r="P1434" t="n">
        <v>0.000763</v>
      </c>
      <c r="Q1434" t="n">
        <v>-15</v>
      </c>
      <c r="R1434" t="n">
        <v>0.05243</v>
      </c>
      <c r="S1434">
        <f>IMAGE("https://mitra.stanford.edu/kundaje/oak/projects/neuro-variants/variant_position/credible/roussos_2024/variant_figures/roussos_2024.childhood.GLU/rs9928398_count_position.png",4,220,900)</f>
        <v/>
      </c>
      <c r="T1434">
        <f>IMAGE("https://mitra.stanford.edu/kundaje/oak/projects/neuro-variants/variant_position/credible/roussos_2024/variant_figures/roussos_2024.childhood.GLU/rs9928398_profile_position.png",4,220,900)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-0.024172577748</v>
      </c>
      <c r="G1435" t="n">
        <v>0.4319082829118588</v>
      </c>
      <c r="H1435" t="n">
        <v>0.0109160070578252</v>
      </c>
      <c r="I1435" t="n">
        <v>0.5632241805213984</v>
      </c>
      <c r="J1435" t="n">
        <v>0.1086775114096448</v>
      </c>
      <c r="K1435" t="n">
        <v>0.2359746156316581</v>
      </c>
      <c r="L1435" t="b">
        <v>0</v>
      </c>
      <c r="M1435" t="b">
        <v>0</v>
      </c>
      <c r="N1435" t="inlineStr">
        <is>
          <t>ref</t>
        </is>
      </c>
      <c r="O1435" t="n">
        <v>80</v>
      </c>
      <c r="P1435" t="n">
        <v>0.0349</v>
      </c>
      <c r="Q1435" t="n">
        <v>60</v>
      </c>
      <c r="R1435" t="n">
        <v>0.05963</v>
      </c>
      <c r="S1435">
        <f>IMAGE("https://mitra.stanford.edu/kundaje/oak/projects/neuro-variants/variant_position/credible/roussos_2024/variant_figures/roussos_2024.childhood.GLU/rs8056038_count_position.png",4,220,900)</f>
        <v/>
      </c>
      <c r="T1435">
        <f>IMAGE("https://mitra.stanford.edu/kundaje/oak/projects/neuro-variants/variant_position/credible/roussos_2024/variant_figures/roussos_2024.childhood.GLU/rs8056038_profile_position.png",4,220,900)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-0.0510939552</v>
      </c>
      <c r="G1436" t="n">
        <v>0.1732014373749032</v>
      </c>
      <c r="H1436" t="n">
        <v>0.0106978100981132</v>
      </c>
      <c r="I1436" t="n">
        <v>0.5817173932008608</v>
      </c>
      <c r="J1436" t="n">
        <v>0.108355053725777</v>
      </c>
      <c r="K1436" t="n">
        <v>0.2364521394512572</v>
      </c>
      <c r="L1436" t="b">
        <v>0</v>
      </c>
      <c r="M1436" t="b">
        <v>0</v>
      </c>
      <c r="N1436" t="inlineStr">
        <is>
          <t>ref</t>
        </is>
      </c>
      <c r="O1436" t="n">
        <v>80</v>
      </c>
      <c r="P1436" t="n">
        <v>0.03308</v>
      </c>
      <c r="Q1436" t="n">
        <v>55</v>
      </c>
      <c r="R1436" t="n">
        <v>0.05035</v>
      </c>
      <c r="S1436">
        <f>IMAGE("https://mitra.stanford.edu/kundaje/oak/projects/neuro-variants/variant_position/credible/roussos_2024/variant_figures/roussos_2024.childhood.GLU/rs8056039_count_position.png",4,220,900)</f>
        <v/>
      </c>
      <c r="T1436">
        <f>IMAGE("https://mitra.stanford.edu/kundaje/oak/projects/neuro-variants/variant_position/credible/roussos_2024/variant_figures/roussos_2024.childhood.GLU/rs8056039_profile_position.png",4,220,900)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0.02646717548</v>
      </c>
      <c r="G1437" t="n">
        <v>0.3537938827408755</v>
      </c>
      <c r="H1437" t="n">
        <v>0.009173111417471101</v>
      </c>
      <c r="I1437" t="n">
        <v>0.7295810124001175</v>
      </c>
      <c r="J1437" t="n">
        <v>0.0058742930141036</v>
      </c>
      <c r="K1437" t="n">
        <v>0.6593983839774097</v>
      </c>
      <c r="L1437" t="b">
        <v>0</v>
      </c>
      <c r="M1437" t="b">
        <v>0</v>
      </c>
      <c r="N1437" t="inlineStr">
        <is>
          <t>alt</t>
        </is>
      </c>
      <c r="O1437" t="n">
        <v>-95</v>
      </c>
      <c r="P1437" t="n">
        <v>0.01444</v>
      </c>
      <c r="Q1437" t="n">
        <v>65</v>
      </c>
      <c r="R1437" t="n">
        <v>0.04614</v>
      </c>
      <c r="S1437">
        <f>IMAGE("https://mitra.stanford.edu/kundaje/oak/projects/neuro-variants/variant_position/credible/roussos_2024/variant_figures/roussos_2024.childhood.GLU/rs37035_count_position.png",4,220,900)</f>
        <v/>
      </c>
      <c r="T1437">
        <f>IMAGE("https://mitra.stanford.edu/kundaje/oak/projects/neuro-variants/variant_position/credible/roussos_2024/variant_figures/roussos_2024.childhood.GLU/rs37035_profile_position.png",4,220,900)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-0.0391594797999999</v>
      </c>
      <c r="G1438" t="n">
        <v>0.2509087979432223</v>
      </c>
      <c r="H1438" t="n">
        <v>0.0132044097664372</v>
      </c>
      <c r="I1438" t="n">
        <v>0.3621850157203289</v>
      </c>
      <c r="J1438" t="n">
        <v>0.009694334840882999</v>
      </c>
      <c r="K1438" t="n">
        <v>0.5968885004128933</v>
      </c>
      <c r="L1438" t="b">
        <v>0</v>
      </c>
      <c r="M1438" t="b">
        <v>0</v>
      </c>
      <c r="N1438" t="inlineStr">
        <is>
          <t>ref</t>
        </is>
      </c>
      <c r="O1438" t="n">
        <v>-55</v>
      </c>
      <c r="P1438" t="n">
        <v>0.07245</v>
      </c>
      <c r="Q1438" t="n">
        <v>50</v>
      </c>
      <c r="R1438" t="n">
        <v>0.10486</v>
      </c>
      <c r="S1438">
        <f>IMAGE("https://mitra.stanford.edu/kundaje/oak/projects/neuro-variants/variant_position/credible/roussos_2024/variant_figures/roussos_2024.childhood.GLU/rs37059_count_position.png",4,220,900)</f>
        <v/>
      </c>
      <c r="T1438">
        <f>IMAGE("https://mitra.stanford.edu/kundaje/oak/projects/neuro-variants/variant_position/credible/roussos_2024/variant_figures/roussos_2024.childhood.GLU/rs37059_profile_position.png",4,220,900)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0.07159551679999999</v>
      </c>
      <c r="G1439" t="n">
        <v>0.0892614148233644</v>
      </c>
      <c r="H1439" t="n">
        <v>0.0262290762546841</v>
      </c>
      <c r="I1439" t="n">
        <v>0.0365200900913236</v>
      </c>
      <c r="J1439" t="n">
        <v>0.1392028186716391</v>
      </c>
      <c r="K1439" t="n">
        <v>0.1967722881359126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0.01396</v>
      </c>
      <c r="Q1439" t="n">
        <v>100</v>
      </c>
      <c r="R1439" t="n">
        <v>0.2104</v>
      </c>
      <c r="S1439">
        <f>IMAGE("https://mitra.stanford.edu/kundaje/oak/projects/neuro-variants/variant_position/credible/roussos_2024/variant_figures/roussos_2024.childhood.GLU/rs7201946_count_position.png",4,220,900)</f>
        <v/>
      </c>
      <c r="T1439">
        <f>IMAGE("https://mitra.stanford.edu/kundaje/oak/projects/neuro-variants/variant_position/credible/roussos_2024/variant_figures/roussos_2024.childhood.GLU/rs7201946_profile_position.png",4,220,900)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0.181697762</v>
      </c>
      <c r="G1440" t="n">
        <v>0.0116078141614091</v>
      </c>
      <c r="H1440" t="n">
        <v>0.0224515687516588</v>
      </c>
      <c r="I1440" t="n">
        <v>0.0667869866502552</v>
      </c>
      <c r="J1440" t="n">
        <v>0.0125562755622404</v>
      </c>
      <c r="K1440" t="n">
        <v>0.5523836840084565</v>
      </c>
      <c r="L1440" t="b">
        <v>1</v>
      </c>
      <c r="M1440" t="b">
        <v>0</v>
      </c>
      <c r="N1440" t="inlineStr">
        <is>
          <t>alt</t>
        </is>
      </c>
      <c r="O1440" t="n">
        <v>-100</v>
      </c>
      <c r="P1440" t="n">
        <v>0.00686</v>
      </c>
      <c r="Q1440" t="n">
        <v>-100</v>
      </c>
      <c r="R1440" t="n">
        <v>0.07153</v>
      </c>
      <c r="S1440">
        <f>IMAGE("https://mitra.stanford.edu/kundaje/oak/projects/neuro-variants/variant_position/credible/roussos_2024/variant_figures/roussos_2024.childhood.GLU/rs7206744_count_position.png",4,220,900)</f>
        <v/>
      </c>
      <c r="T1440">
        <f>IMAGE("https://mitra.stanford.edu/kundaje/oak/projects/neuro-variants/variant_position/credible/roussos_2024/variant_figures/roussos_2024.childhood.GLU/rs7206744_profile_position.png",4,220,900)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-0.09184858039999989</v>
      </c>
      <c r="G1441" t="n">
        <v>0.0545412680673033</v>
      </c>
      <c r="H1441" t="n">
        <v>0.01519251115811</v>
      </c>
      <c r="I1441" t="n">
        <v>0.2431383934138253</v>
      </c>
      <c r="J1441" t="n">
        <v>0.0683012764379242</v>
      </c>
      <c r="K1441" t="n">
        <v>0.3024660573009894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0.01796</v>
      </c>
      <c r="Q1441" t="n">
        <v>-35</v>
      </c>
      <c r="R1441" t="n">
        <v>0.0468</v>
      </c>
      <c r="S1441">
        <f>IMAGE("https://mitra.stanford.edu/kundaje/oak/projects/neuro-variants/variant_position/credible/roussos_2024/variant_figures/roussos_2024.childhood.GLU/rs9936144_count_position.png",4,220,900)</f>
        <v/>
      </c>
      <c r="T1441">
        <f>IMAGE("https://mitra.stanford.edu/kundaje/oak/projects/neuro-variants/variant_position/credible/roussos_2024/variant_figures/roussos_2024.childhood.GLU/rs9936144_profile_position.png",4,220,900)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-0.00904051474</v>
      </c>
      <c r="G1442" t="n">
        <v>0.6231440194952781</v>
      </c>
      <c r="H1442" t="n">
        <v>0.022554609106139</v>
      </c>
      <c r="I1442" t="n">
        <v>0.06618730861321689</v>
      </c>
      <c r="J1442" t="n">
        <v>0.0059330153399198</v>
      </c>
      <c r="K1442" t="n">
        <v>0.6567905814808979</v>
      </c>
      <c r="L1442" t="b">
        <v>0</v>
      </c>
      <c r="M1442" t="b">
        <v>0</v>
      </c>
      <c r="N1442" t="inlineStr">
        <is>
          <t>ref</t>
        </is>
      </c>
      <c r="O1442" t="n">
        <v>-100</v>
      </c>
      <c r="P1442" t="n">
        <v>0.01349</v>
      </c>
      <c r="Q1442" t="n">
        <v>-95</v>
      </c>
      <c r="R1442" t="n">
        <v>0.1022</v>
      </c>
      <c r="S1442">
        <f>IMAGE("https://mitra.stanford.edu/kundaje/oak/projects/neuro-variants/variant_position/credible/roussos_2024/variant_figures/roussos_2024.childhood.GLU/rs116630925_count_position.png",4,220,900)</f>
        <v/>
      </c>
      <c r="T1442">
        <f>IMAGE("https://mitra.stanford.edu/kundaje/oak/projects/neuro-variants/variant_position/credible/roussos_2024/variant_figures/roussos_2024.childhood.GLU/rs116630925_profile_position.png",4,220,900)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0.09570465139999999</v>
      </c>
      <c r="G1443" t="n">
        <v>0.0575464616832113</v>
      </c>
      <c r="H1443" t="n">
        <v>0.026913304176148</v>
      </c>
      <c r="I1443" t="n">
        <v>0.0325093840296195</v>
      </c>
      <c r="J1443" t="n">
        <v>0.0800447113849196</v>
      </c>
      <c r="K1443" t="n">
        <v>0.2792375704750815</v>
      </c>
      <c r="L1443" t="b">
        <v>0</v>
      </c>
      <c r="M1443" t="b">
        <v>0</v>
      </c>
      <c r="N1443" t="inlineStr">
        <is>
          <t>alt</t>
        </is>
      </c>
      <c r="O1443" t="n">
        <v>10</v>
      </c>
      <c r="P1443" t="n">
        <v>0.0013275</v>
      </c>
      <c r="Q1443" t="n">
        <v>10</v>
      </c>
      <c r="R1443" t="n">
        <v>0.00293</v>
      </c>
      <c r="S1443">
        <f>IMAGE("https://mitra.stanford.edu/kundaje/oak/projects/neuro-variants/variant_position/credible/roussos_2024/variant_figures/roussos_2024.childhood.GLU/rs12443835_count_position.png",4,220,900)</f>
        <v/>
      </c>
      <c r="T1443">
        <f>IMAGE("https://mitra.stanford.edu/kundaje/oak/projects/neuro-variants/variant_position/credible/roussos_2024/variant_figures/roussos_2024.childhood.GLU/rs12443835_profile_position.png",4,220,900)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-0.0017713275</v>
      </c>
      <c r="G1444" t="n">
        <v>0.9008969343894356</v>
      </c>
      <c r="H1444" t="n">
        <v>0.0118872339316428</v>
      </c>
      <c r="I1444" t="n">
        <v>0.457838941880657</v>
      </c>
      <c r="J1444" t="n">
        <v>0.0905117084075947</v>
      </c>
      <c r="K1444" t="n">
        <v>0.2641974405274339</v>
      </c>
      <c r="L1444" t="b">
        <v>0</v>
      </c>
      <c r="M1444" t="b">
        <v>0</v>
      </c>
      <c r="N1444" t="inlineStr">
        <is>
          <t>ref</t>
        </is>
      </c>
      <c r="O1444" t="n">
        <v>45</v>
      </c>
      <c r="P1444" t="n">
        <v>0.00238</v>
      </c>
      <c r="Q1444" t="n">
        <v>-100</v>
      </c>
      <c r="R1444" t="n">
        <v>0.0629</v>
      </c>
      <c r="S1444">
        <f>IMAGE("https://mitra.stanford.edu/kundaje/oak/projects/neuro-variants/variant_position/credible/roussos_2024/variant_figures/roussos_2024.childhood.GLU/rs9925537_count_position.png",4,220,900)</f>
        <v/>
      </c>
      <c r="T1444">
        <f>IMAGE("https://mitra.stanford.edu/kundaje/oak/projects/neuro-variants/variant_position/credible/roussos_2024/variant_figures/roussos_2024.childhood.GLU/rs9925537_profile_position.png",4,220,900)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0.207695834</v>
      </c>
      <c r="G1445" t="n">
        <v>0.008119250498070199</v>
      </c>
      <c r="H1445" t="n">
        <v>0.0665546774533616</v>
      </c>
      <c r="I1445" t="n">
        <v>0.0010891502707829</v>
      </c>
      <c r="J1445" t="n">
        <v>0.0524843664685217</v>
      </c>
      <c r="K1445" t="n">
        <v>0.3421301659975616</v>
      </c>
      <c r="L1445" t="b">
        <v>1</v>
      </c>
      <c r="M1445" t="b">
        <v>1</v>
      </c>
      <c r="N1445" t="inlineStr">
        <is>
          <t>alt</t>
        </is>
      </c>
      <c r="O1445" t="n">
        <v>-90</v>
      </c>
      <c r="P1445" t="n">
        <v>0.02625</v>
      </c>
      <c r="Q1445" t="n">
        <v>-20</v>
      </c>
      <c r="R1445" t="n">
        <v>0.003723</v>
      </c>
      <c r="S1445">
        <f>IMAGE("https://mitra.stanford.edu/kundaje/oak/projects/neuro-variants/variant_position/credible/roussos_2024/variant_figures/roussos_2024.childhood.GLU/rs154433_count_position.png",4,220,900)</f>
        <v/>
      </c>
      <c r="T1445">
        <f>IMAGE("https://mitra.stanford.edu/kundaje/oak/projects/neuro-variants/variant_position/credible/roussos_2024/variant_figures/roussos_2024.childhood.GLU/rs154433_profile_position.png",4,220,900)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-0.0399955644</v>
      </c>
      <c r="G1446" t="n">
        <v>0.2549783058730346</v>
      </c>
      <c r="H1446" t="n">
        <v>0.00980711510141</v>
      </c>
      <c r="I1446" t="n">
        <v>0.6740785495404952</v>
      </c>
      <c r="J1446" t="n">
        <v>0.0129395160044092</v>
      </c>
      <c r="K1446" t="n">
        <v>0.5490581925580865</v>
      </c>
      <c r="L1446" t="b">
        <v>0</v>
      </c>
      <c r="M1446" t="b">
        <v>0</v>
      </c>
      <c r="N1446" t="inlineStr">
        <is>
          <t>ref</t>
        </is>
      </c>
      <c r="O1446" t="n">
        <v>35</v>
      </c>
      <c r="P1446" t="n">
        <v>0.001862</v>
      </c>
      <c r="Q1446" t="n">
        <v>0</v>
      </c>
      <c r="R1446" t="n">
        <v>0</v>
      </c>
      <c r="S1446">
        <f>IMAGE("https://mitra.stanford.edu/kundaje/oak/projects/neuro-variants/variant_position/credible/roussos_2024/variant_figures/roussos_2024.childhood.GLU/rs7193419_count_position.png",4,220,900)</f>
        <v/>
      </c>
      <c r="T1446">
        <f>IMAGE("https://mitra.stanford.edu/kundaje/oak/projects/neuro-variants/variant_position/credible/roussos_2024/variant_figures/roussos_2024.childhood.GLU/rs7193419_profile_position.png",4,220,900)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-0.0231160826</v>
      </c>
      <c r="G1447" t="n">
        <v>0.4279929649004111</v>
      </c>
      <c r="H1447" t="n">
        <v>0.0249021752277359</v>
      </c>
      <c r="I1447" t="n">
        <v>0.0458630368922382</v>
      </c>
      <c r="J1447" t="n">
        <v>0.0622755416361894</v>
      </c>
      <c r="K1447" t="n">
        <v>0.3159911340542449</v>
      </c>
      <c r="L1447" t="b">
        <v>0</v>
      </c>
      <c r="M1447" t="b">
        <v>0</v>
      </c>
      <c r="N1447" t="inlineStr">
        <is>
          <t>ref</t>
        </is>
      </c>
      <c r="O1447" t="n">
        <v>55</v>
      </c>
      <c r="P1447" t="n">
        <v>0.01851</v>
      </c>
      <c r="Q1447" t="n">
        <v>95</v>
      </c>
      <c r="R1447" t="n">
        <v>0.3564</v>
      </c>
      <c r="S1447">
        <f>IMAGE("https://mitra.stanford.edu/kundaje/oak/projects/neuro-variants/variant_position/credible/roussos_2024/variant_figures/roussos_2024.childhood.GLU/rs6498914_count_position.png",4,220,900)</f>
        <v/>
      </c>
      <c r="T1447">
        <f>IMAGE("https://mitra.stanford.edu/kundaje/oak/projects/neuro-variants/variant_position/credible/roussos_2024/variant_figures/roussos_2024.childhood.GLU/rs6498914_profile_position.png",4,220,900)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0.038596267</v>
      </c>
      <c r="G1448" t="n">
        <v>0.2542927652035342</v>
      </c>
      <c r="H1448" t="n">
        <v>0.0169841226347777</v>
      </c>
      <c r="I1448" t="n">
        <v>0.1723090350055902</v>
      </c>
      <c r="J1448" t="n">
        <v>0.0282670732586769</v>
      </c>
      <c r="K1448" t="n">
        <v>0.4419628955597707</v>
      </c>
      <c r="L1448" t="b">
        <v>0</v>
      </c>
      <c r="M1448" t="b">
        <v>0</v>
      </c>
      <c r="N1448" t="inlineStr">
        <is>
          <t>alt</t>
        </is>
      </c>
      <c r="O1448" t="n">
        <v>-100</v>
      </c>
      <c r="P1448" t="n">
        <v>0.01488</v>
      </c>
      <c r="Q1448" t="n">
        <v>-100</v>
      </c>
      <c r="R1448" t="n">
        <v>0.09180000000000001</v>
      </c>
      <c r="S1448">
        <f>IMAGE("https://mitra.stanford.edu/kundaje/oak/projects/neuro-variants/variant_position/credible/roussos_2024/variant_figures/roussos_2024.childhood.GLU/rs4353494_count_position.png",4,220,900)</f>
        <v/>
      </c>
      <c r="T1448">
        <f>IMAGE("https://mitra.stanford.edu/kundaje/oak/projects/neuro-variants/variant_position/credible/roussos_2024/variant_figures/roussos_2024.childhood.GLU/rs4353494_profile_position.png",4,220,900)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-0.0202638874</v>
      </c>
      <c r="G1449" t="n">
        <v>0.4048457766145015</v>
      </c>
      <c r="H1449" t="n">
        <v>0.0065709704860419</v>
      </c>
      <c r="I1449" t="n">
        <v>0.969835619944757</v>
      </c>
      <c r="J1449" t="n">
        <v>0.0278395335180854</v>
      </c>
      <c r="K1449" t="n">
        <v>0.4396236266961272</v>
      </c>
      <c r="L1449" t="b">
        <v>0</v>
      </c>
      <c r="M1449" t="b">
        <v>0</v>
      </c>
      <c r="N1449" t="inlineStr">
        <is>
          <t>ref</t>
        </is>
      </c>
      <c r="O1449" t="n">
        <v>-85</v>
      </c>
      <c r="P1449" t="n">
        <v>0.06018</v>
      </c>
      <c r="Q1449" t="n">
        <v>50</v>
      </c>
      <c r="R1449" t="n">
        <v>0.1061</v>
      </c>
      <c r="S1449">
        <f>IMAGE("https://mitra.stanford.edu/kundaje/oak/projects/neuro-variants/variant_position/credible/roussos_2024/variant_figures/roussos_2024.childhood.GLU/rs10775297_count_position.png",4,220,900)</f>
        <v/>
      </c>
      <c r="T1449">
        <f>IMAGE("https://mitra.stanford.edu/kundaje/oak/projects/neuro-variants/variant_position/credible/roussos_2024/variant_figures/roussos_2024.childhood.GLU/rs10775297_profile_position.png",4,220,900)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-0.07067728920000001</v>
      </c>
      <c r="G1450" t="n">
        <v>0.097747586252119</v>
      </c>
      <c r="H1450" t="n">
        <v>0.0134942338251536</v>
      </c>
      <c r="I1450" t="n">
        <v>0.3345094526309614</v>
      </c>
      <c r="J1450" t="n">
        <v>0.0154130652023859</v>
      </c>
      <c r="K1450" t="n">
        <v>0.532426818175695</v>
      </c>
      <c r="L1450" t="b">
        <v>0</v>
      </c>
      <c r="M1450" t="b">
        <v>0</v>
      </c>
      <c r="N1450" t="inlineStr">
        <is>
          <t>ref</t>
        </is>
      </c>
      <c r="O1450" t="n">
        <v>35</v>
      </c>
      <c r="P1450" t="n">
        <v>0.0188</v>
      </c>
      <c r="Q1450" t="n">
        <v>-85</v>
      </c>
      <c r="R1450" t="n">
        <v>0.03442</v>
      </c>
      <c r="S1450">
        <f>IMAGE("https://mitra.stanford.edu/kundaje/oak/projects/neuro-variants/variant_position/credible/roussos_2024/variant_figures/roussos_2024.childhood.GLU/rs12933055_count_position.png",4,220,900)</f>
        <v/>
      </c>
      <c r="T1450">
        <f>IMAGE("https://mitra.stanford.edu/kundaje/oak/projects/neuro-variants/variant_position/credible/roussos_2024/variant_figures/roussos_2024.childhood.GLU/rs12933055_profile_position.png",4,220,900)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0.1057293279999999</v>
      </c>
      <c r="G1451" t="n">
        <v>0.0398642207439034</v>
      </c>
      <c r="H1451" t="n">
        <v>0.0171908539803047</v>
      </c>
      <c r="I1451" t="n">
        <v>0.1632170763377815</v>
      </c>
      <c r="J1451" t="n">
        <v>0.0339332625918179</v>
      </c>
      <c r="K1451" t="n">
        <v>0.4168276830702486</v>
      </c>
      <c r="L1451" t="b">
        <v>0</v>
      </c>
      <c r="M1451" t="b">
        <v>0</v>
      </c>
      <c r="N1451" t="inlineStr">
        <is>
          <t>alt</t>
        </is>
      </c>
      <c r="O1451" t="n">
        <v>-75</v>
      </c>
      <c r="P1451" t="n">
        <v>0.06519999999999999</v>
      </c>
      <c r="Q1451" t="n">
        <v>-35</v>
      </c>
      <c r="R1451" t="n">
        <v>0.156</v>
      </c>
      <c r="S1451">
        <f>IMAGE("https://mitra.stanford.edu/kundaje/oak/projects/neuro-variants/variant_position/credible/roussos_2024/variant_figures/roussos_2024.childhood.GLU/rs2926123_count_position.png",4,220,900)</f>
        <v/>
      </c>
      <c r="T1451">
        <f>IMAGE("https://mitra.stanford.edu/kundaje/oak/projects/neuro-variants/variant_position/credible/roussos_2024/variant_figures/roussos_2024.childhood.GLU/rs2926123_profile_position.png",4,220,900)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-0.0396779316</v>
      </c>
      <c r="G1452" t="n">
        <v>0.2505276827970892</v>
      </c>
      <c r="H1452" t="n">
        <v>0.0115585205368666</v>
      </c>
      <c r="I1452" t="n">
        <v>0.492613885755869</v>
      </c>
      <c r="J1452" t="n">
        <v>0.09076617181946479</v>
      </c>
      <c r="K1452" t="n">
        <v>0.258506538829914</v>
      </c>
      <c r="L1452" t="b">
        <v>0</v>
      </c>
      <c r="M1452" t="b">
        <v>0</v>
      </c>
      <c r="N1452" t="inlineStr">
        <is>
          <t>ref</t>
        </is>
      </c>
      <c r="O1452" t="n">
        <v>-10</v>
      </c>
      <c r="P1452" t="n">
        <v>0.0008774</v>
      </c>
      <c r="Q1452" t="n">
        <v>-100</v>
      </c>
      <c r="R1452" t="n">
        <v>0.098</v>
      </c>
      <c r="S1452">
        <f>IMAGE("https://mitra.stanford.edu/kundaje/oak/projects/neuro-variants/variant_position/credible/roussos_2024/variant_figures/roussos_2024.childhood.GLU/rs2917686_count_position.png",4,220,900)</f>
        <v/>
      </c>
      <c r="T1452">
        <f>IMAGE("https://mitra.stanford.edu/kundaje/oak/projects/neuro-variants/variant_position/credible/roussos_2024/variant_figures/roussos_2024.childhood.GLU/rs2917686_profile_position.png",4,220,900)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-0.012760270188</v>
      </c>
      <c r="G1453" t="n">
        <v>0.6029572212304034</v>
      </c>
      <c r="H1453" t="n">
        <v>0.0091297240892455</v>
      </c>
      <c r="I1453" t="n">
        <v>0.7308140782231936</v>
      </c>
      <c r="J1453" t="n">
        <v>0.0714145899224246</v>
      </c>
      <c r="K1453" t="n">
        <v>0.2979703447073206</v>
      </c>
      <c r="L1453" t="b">
        <v>0</v>
      </c>
      <c r="M1453" t="b">
        <v>0</v>
      </c>
      <c r="N1453" t="inlineStr">
        <is>
          <t>ref</t>
        </is>
      </c>
      <c r="O1453" t="n">
        <v>100</v>
      </c>
      <c r="P1453" t="n">
        <v>0.00822</v>
      </c>
      <c r="Q1453" t="n">
        <v>-95</v>
      </c>
      <c r="R1453" t="n">
        <v>0.09533999999999999</v>
      </c>
      <c r="S1453">
        <f>IMAGE("https://mitra.stanford.edu/kundaje/oak/projects/neuro-variants/variant_position/credible/roussos_2024/variant_figures/roussos_2024.childhood.GLU/rs2917688_count_position.png",4,220,900)</f>
        <v/>
      </c>
      <c r="T1453">
        <f>IMAGE("https://mitra.stanford.edu/kundaje/oak/projects/neuro-variants/variant_position/credible/roussos_2024/variant_figures/roussos_2024.childhood.GLU/rs2917688_profile_position.png",4,220,900)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0.0862529019999999</v>
      </c>
      <c r="G1454" t="n">
        <v>0.06372256969657721</v>
      </c>
      <c r="H1454" t="n">
        <v>0.0128589985063329</v>
      </c>
      <c r="I1454" t="n">
        <v>0.3818344895727676</v>
      </c>
      <c r="J1454" t="n">
        <v>0.0027970370980868</v>
      </c>
      <c r="K1454" t="n">
        <v>0.7411084547882206</v>
      </c>
      <c r="L1454" t="b">
        <v>0</v>
      </c>
      <c r="M1454" t="b">
        <v>0</v>
      </c>
      <c r="N1454" t="inlineStr">
        <is>
          <t>alt</t>
        </is>
      </c>
      <c r="O1454" t="n">
        <v>-100</v>
      </c>
      <c r="P1454" t="n">
        <v>0.009950000000000001</v>
      </c>
      <c r="Q1454" t="n">
        <v>-20</v>
      </c>
      <c r="R1454" t="n">
        <v>0.00882</v>
      </c>
      <c r="S1454">
        <f>IMAGE("https://mitra.stanford.edu/kundaje/oak/projects/neuro-variants/variant_position/credible/roussos_2024/variant_figures/roussos_2024.childhood.GLU/rs2917696_count_position.png",4,220,900)</f>
        <v/>
      </c>
      <c r="T1454">
        <f>IMAGE("https://mitra.stanford.edu/kundaje/oak/projects/neuro-variants/variant_position/credible/roussos_2024/variant_figures/roussos_2024.childhood.GLU/rs2917696_profile_position.png",4,220,900)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-0.0223920456</v>
      </c>
      <c r="G1455" t="n">
        <v>0.426553071048636</v>
      </c>
      <c r="H1455" t="n">
        <v>0.0137939394704192</v>
      </c>
      <c r="I1455" t="n">
        <v>0.3178848668769163</v>
      </c>
      <c r="J1455" t="n">
        <v>0.007857459280702901</v>
      </c>
      <c r="K1455" t="n">
        <v>0.6225049207979815</v>
      </c>
      <c r="L1455" t="b">
        <v>0</v>
      </c>
      <c r="M1455" t="b">
        <v>0</v>
      </c>
      <c r="N1455" t="inlineStr">
        <is>
          <t>ref</t>
        </is>
      </c>
      <c r="O1455" t="n">
        <v>85</v>
      </c>
      <c r="P1455" t="n">
        <v>0.00774</v>
      </c>
      <c r="Q1455" t="n">
        <v>90</v>
      </c>
      <c r="R1455" t="n">
        <v>0.1835</v>
      </c>
      <c r="S1455">
        <f>IMAGE("https://mitra.stanford.edu/kundaje/oak/projects/neuro-variants/variant_position/credible/roussos_2024/variant_figures/roussos_2024.childhood.GLU/rs12921977_count_position.png",4,220,900)</f>
        <v/>
      </c>
      <c r="T1455">
        <f>IMAGE("https://mitra.stanford.edu/kundaje/oak/projects/neuro-variants/variant_position/credible/roussos_2024/variant_figures/roussos_2024.childhood.GLU/rs12921977_profile_position.png",4,220,900)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-0.0328498605999999</v>
      </c>
      <c r="G1456" t="n">
        <v>0.3305897381020887</v>
      </c>
      <c r="H1456" t="n">
        <v>0.0199562835517638</v>
      </c>
      <c r="I1456" t="n">
        <v>0.1032429962349116</v>
      </c>
      <c r="J1456" t="n">
        <v>0.0051428394820072</v>
      </c>
      <c r="K1456" t="n">
        <v>0.6710201439993135</v>
      </c>
      <c r="L1456" t="b">
        <v>0</v>
      </c>
      <c r="M1456" t="b">
        <v>0</v>
      </c>
      <c r="N1456" t="inlineStr">
        <is>
          <t>ref</t>
        </is>
      </c>
      <c r="O1456" t="n">
        <v>-65</v>
      </c>
      <c r="P1456" t="n">
        <v>0.005566</v>
      </c>
      <c r="Q1456" t="n">
        <v>-20</v>
      </c>
      <c r="R1456" t="n">
        <v>0.0626</v>
      </c>
      <c r="S1456">
        <f>IMAGE("https://mitra.stanford.edu/kundaje/oak/projects/neuro-variants/variant_position/credible/roussos_2024/variant_figures/roussos_2024.childhood.GLU/rs8058130_count_position.png",4,220,900)</f>
        <v/>
      </c>
      <c r="T1456">
        <f>IMAGE("https://mitra.stanford.edu/kundaje/oak/projects/neuro-variants/variant_position/credible/roussos_2024/variant_figures/roussos_2024.childhood.GLU/rs8058130_profile_position.png",4,220,900)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0.0668518424</v>
      </c>
      <c r="G1457" t="n">
        <v>0.1177373131697525</v>
      </c>
      <c r="H1457" t="n">
        <v>0.0351279166482892</v>
      </c>
      <c r="I1457" t="n">
        <v>0.0113553601862748</v>
      </c>
      <c r="J1457" t="n">
        <v>0.000669640557553</v>
      </c>
      <c r="K1457" t="n">
        <v>0.8536132157312092</v>
      </c>
      <c r="L1457" t="b">
        <v>0</v>
      </c>
      <c r="M1457" t="b">
        <v>0</v>
      </c>
      <c r="N1457" t="inlineStr">
        <is>
          <t>alt</t>
        </is>
      </c>
      <c r="O1457" t="n">
        <v>-45</v>
      </c>
      <c r="P1457" t="n">
        <v>0.003174</v>
      </c>
      <c r="Q1457" t="n">
        <v>55</v>
      </c>
      <c r="R1457" t="n">
        <v>0.02176</v>
      </c>
      <c r="S1457">
        <f>IMAGE("https://mitra.stanford.edu/kundaje/oak/projects/neuro-variants/variant_position/credible/roussos_2024/variant_figures/roussos_2024.childhood.GLU/rs934655_count_position.png",4,220,900)</f>
        <v/>
      </c>
      <c r="T1457">
        <f>IMAGE("https://mitra.stanford.edu/kundaje/oak/projects/neuro-variants/variant_position/credible/roussos_2024/variant_figures/roussos_2024.childhood.GLU/rs934655_profile_position.png",4,220,900)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-0.0316856912</v>
      </c>
      <c r="G1458" t="n">
        <v>0.3315786515813574</v>
      </c>
      <c r="H1458" t="n">
        <v>0.0118173725069933</v>
      </c>
      <c r="I1458" t="n">
        <v>0.4629870569342899</v>
      </c>
      <c r="J1458" t="n">
        <v>0.0217499253093223</v>
      </c>
      <c r="K1458" t="n">
        <v>0.4817892566848865</v>
      </c>
      <c r="L1458" t="b">
        <v>0</v>
      </c>
      <c r="M1458" t="b">
        <v>0</v>
      </c>
      <c r="N1458" t="inlineStr">
        <is>
          <t>ref</t>
        </is>
      </c>
      <c r="O1458" t="n">
        <v>-100</v>
      </c>
      <c r="P1458" t="n">
        <v>0.01425</v>
      </c>
      <c r="Q1458" t="n">
        <v>95</v>
      </c>
      <c r="R1458" t="n">
        <v>0.09</v>
      </c>
      <c r="S1458">
        <f>IMAGE("https://mitra.stanford.edu/kundaje/oak/projects/neuro-variants/variant_position/credible/roussos_2024/variant_figures/roussos_2024.childhood.GLU/rs4785823_count_position.png",4,220,900)</f>
        <v/>
      </c>
      <c r="T1458">
        <f>IMAGE("https://mitra.stanford.edu/kundaje/oak/projects/neuro-variants/variant_position/credible/roussos_2024/variant_figures/roussos_2024.childhood.GLU/rs4785823_profile_position.png",4,220,900)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-0.002086441472</v>
      </c>
      <c r="G1459" t="n">
        <v>0.8223359105152848</v>
      </c>
      <c r="H1459" t="n">
        <v>0.0215276834559866</v>
      </c>
      <c r="I1459" t="n">
        <v>0.0758686764292692</v>
      </c>
      <c r="J1459" t="n">
        <v>0.0152183543325743</v>
      </c>
      <c r="K1459" t="n">
        <v>0.535659902508555</v>
      </c>
      <c r="L1459" t="b">
        <v>0</v>
      </c>
      <c r="M1459" t="b">
        <v>0</v>
      </c>
      <c r="N1459" t="inlineStr">
        <is>
          <t>ref</t>
        </is>
      </c>
      <c r="O1459" t="n">
        <v>100</v>
      </c>
      <c r="P1459" t="n">
        <v>0.08989999999999999</v>
      </c>
      <c r="Q1459" t="n">
        <v>100</v>
      </c>
      <c r="R1459" t="n">
        <v>0.035</v>
      </c>
      <c r="S1459">
        <f>IMAGE("https://mitra.stanford.edu/kundaje/oak/projects/neuro-variants/variant_position/credible/roussos_2024/variant_figures/roussos_2024.childhood.GLU/rs7196496_count_position.png",4,220,900)</f>
        <v/>
      </c>
      <c r="T1459">
        <f>IMAGE("https://mitra.stanford.edu/kundaje/oak/projects/neuro-variants/variant_position/credible/roussos_2024/variant_figures/roussos_2024.childhood.GLU/rs7196496_profile_position.png",4,220,900)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-0.0385204834</v>
      </c>
      <c r="G1460" t="n">
        <v>0.2583842017588469</v>
      </c>
      <c r="H1460" t="n">
        <v>0.0103124180522158</v>
      </c>
      <c r="I1460" t="n">
        <v>0.622531482580843</v>
      </c>
      <c r="J1460" t="n">
        <v>0.1133495420688802</v>
      </c>
      <c r="K1460" t="n">
        <v>0.2323475611201909</v>
      </c>
      <c r="L1460" t="b">
        <v>0</v>
      </c>
      <c r="M1460" t="b">
        <v>0</v>
      </c>
      <c r="N1460" t="inlineStr">
        <is>
          <t>ref</t>
        </is>
      </c>
      <c r="O1460" t="n">
        <v>-100</v>
      </c>
      <c r="P1460" t="n">
        <v>0.0731</v>
      </c>
      <c r="Q1460" t="n">
        <v>-75</v>
      </c>
      <c r="R1460" t="n">
        <v>0.0697</v>
      </c>
      <c r="S1460">
        <f>IMAGE("https://mitra.stanford.edu/kundaje/oak/projects/neuro-variants/variant_position/credible/roussos_2024/variant_figures/roussos_2024.childhood.GLU/rs11862377_count_position.png",4,220,900)</f>
        <v/>
      </c>
      <c r="T1460">
        <f>IMAGE("https://mitra.stanford.edu/kundaje/oak/projects/neuro-variants/variant_position/credible/roussos_2024/variant_figures/roussos_2024.childhood.GLU/rs11862377_profile_position.png",4,220,900)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-0.025812109446</v>
      </c>
      <c r="G1461" t="n">
        <v>0.396691458866876</v>
      </c>
      <c r="H1461" t="n">
        <v>0.008244318982547899</v>
      </c>
      <c r="I1461" t="n">
        <v>0.8495311319251714</v>
      </c>
      <c r="J1461" t="n">
        <v>0.0423058299937156</v>
      </c>
      <c r="K1461" t="n">
        <v>0.3825342922060681</v>
      </c>
      <c r="L1461" t="b">
        <v>0</v>
      </c>
      <c r="M1461" t="b">
        <v>0</v>
      </c>
      <c r="N1461" t="inlineStr">
        <is>
          <t>ref</t>
        </is>
      </c>
      <c r="O1461" t="n">
        <v>100</v>
      </c>
      <c r="P1461" t="n">
        <v>0.01208</v>
      </c>
      <c r="Q1461" t="n">
        <v>-95</v>
      </c>
      <c r="R1461" t="n">
        <v>0.0454</v>
      </c>
      <c r="S1461">
        <f>IMAGE("https://mitra.stanford.edu/kundaje/oak/projects/neuro-variants/variant_position/credible/roussos_2024/variant_figures/roussos_2024.childhood.GLU/rs13329803_count_position.png",4,220,900)</f>
        <v/>
      </c>
      <c r="T1461">
        <f>IMAGE("https://mitra.stanford.edu/kundaje/oak/projects/neuro-variants/variant_position/credible/roussos_2024/variant_figures/roussos_2024.childhood.GLU/rs13329803_profile_position.png",4,220,900)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-0.0035411812599999</v>
      </c>
      <c r="G1462" t="n">
        <v>0.7114704133653603</v>
      </c>
      <c r="H1462" t="n">
        <v>0.0230481844174253</v>
      </c>
      <c r="I1462" t="n">
        <v>0.0640261896690807</v>
      </c>
      <c r="J1462" t="n">
        <v>0.823908228337128</v>
      </c>
      <c r="K1462" t="n">
        <v>0.0057768734768992</v>
      </c>
      <c r="L1462" t="b">
        <v>0</v>
      </c>
      <c r="M1462" t="b">
        <v>0</v>
      </c>
      <c r="N1462" t="inlineStr">
        <is>
          <t>ref</t>
        </is>
      </c>
      <c r="O1462" t="n">
        <v>55</v>
      </c>
      <c r="P1462" t="n">
        <v>0.01111</v>
      </c>
      <c r="Q1462" t="n">
        <v>5</v>
      </c>
      <c r="R1462" t="n">
        <v>0.01514</v>
      </c>
      <c r="S1462">
        <f>IMAGE("https://mitra.stanford.edu/kundaje/oak/projects/neuro-variants/variant_position/credible/roussos_2024/variant_figures/roussos_2024.childhood.GLU/rs9929143_count_position.png",4,220,900)</f>
        <v/>
      </c>
      <c r="T1462">
        <f>IMAGE("https://mitra.stanford.edu/kundaje/oak/projects/neuro-variants/variant_position/credible/roussos_2024/variant_figures/roussos_2024.childhood.GLU/rs9929143_profile_position.png",4,220,900)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0.01833234574</v>
      </c>
      <c r="G1463" t="n">
        <v>0.4976363080794538</v>
      </c>
      <c r="H1463" t="n">
        <v>0.0355380621504097</v>
      </c>
      <c r="I1463" t="n">
        <v>0.0106091796362603</v>
      </c>
      <c r="J1463" t="n">
        <v>0.0042043124851906</v>
      </c>
      <c r="K1463" t="n">
        <v>0.693082981978338</v>
      </c>
      <c r="L1463" t="b">
        <v>0</v>
      </c>
      <c r="M1463" t="b">
        <v>0</v>
      </c>
      <c r="N1463" t="inlineStr">
        <is>
          <t>alt</t>
        </is>
      </c>
      <c r="O1463" t="n">
        <v>-90</v>
      </c>
      <c r="P1463" t="n">
        <v>0.00537</v>
      </c>
      <c r="Q1463" t="n">
        <v>60</v>
      </c>
      <c r="R1463" t="n">
        <v>0.0673</v>
      </c>
      <c r="S1463">
        <f>IMAGE("https://mitra.stanford.edu/kundaje/oak/projects/neuro-variants/variant_position/credible/roussos_2024/variant_figures/roussos_2024.childhood.GLU/rs75228693_count_position.png",4,220,900)</f>
        <v/>
      </c>
      <c r="T1463">
        <f>IMAGE("https://mitra.stanford.edu/kundaje/oak/projects/neuro-variants/variant_position/credible/roussos_2024/variant_figures/roussos_2024.childhood.GLU/rs75228693_profile_position.png",4,220,900)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-0.126027218</v>
      </c>
      <c r="G1464" t="n">
        <v>0.0300097232765923</v>
      </c>
      <c r="H1464" t="n">
        <v>0.0221780003440448</v>
      </c>
      <c r="I1464" t="n">
        <v>0.0717676811688028</v>
      </c>
      <c r="J1464" t="n">
        <v>0.0940638940113529</v>
      </c>
      <c r="K1464" t="n">
        <v>0.2568706436156103</v>
      </c>
      <c r="L1464" t="b">
        <v>0</v>
      </c>
      <c r="M1464" t="b">
        <v>0</v>
      </c>
      <c r="N1464" t="inlineStr">
        <is>
          <t>ref</t>
        </is>
      </c>
      <c r="O1464" t="n">
        <v>35</v>
      </c>
      <c r="P1464" t="n">
        <v>0.001816</v>
      </c>
      <c r="Q1464" t="n">
        <v>-35</v>
      </c>
      <c r="R1464" t="n">
        <v>0.0345</v>
      </c>
      <c r="S1464">
        <f>IMAGE("https://mitra.stanford.edu/kundaje/oak/projects/neuro-variants/variant_position/credible/roussos_2024/variant_figures/roussos_2024.childhood.GLU/rs16957058_count_position.png",4,220,900)</f>
        <v/>
      </c>
      <c r="T1464">
        <f>IMAGE("https://mitra.stanford.edu/kundaje/oak/projects/neuro-variants/variant_position/credible/roussos_2024/variant_figures/roussos_2024.childhood.GLU/rs16957058_profile_position.png",4,220,900)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0.255120876</v>
      </c>
      <c r="G1465" t="n">
        <v>0.0037084603545506</v>
      </c>
      <c r="H1465" t="n">
        <v>0.0328220657831138</v>
      </c>
      <c r="I1465" t="n">
        <v>0.0166305540767577</v>
      </c>
      <c r="J1465" t="n">
        <v>0.0446464812964241</v>
      </c>
      <c r="K1465" t="n">
        <v>0.3685137584302611</v>
      </c>
      <c r="L1465" t="b">
        <v>1</v>
      </c>
      <c r="M1465" t="b">
        <v>1</v>
      </c>
      <c r="N1465" t="inlineStr">
        <is>
          <t>alt</t>
        </is>
      </c>
      <c r="O1465" t="n">
        <v>65</v>
      </c>
      <c r="P1465" t="n">
        <v>0.03326</v>
      </c>
      <c r="Q1465" t="n">
        <v>70</v>
      </c>
      <c r="R1465" t="n">
        <v>0.1028</v>
      </c>
      <c r="S1465">
        <f>IMAGE("https://mitra.stanford.edu/kundaje/oak/projects/neuro-variants/variant_position/credible/roussos_2024/variant_figures/roussos_2024.childhood.GLU/rs3026093_count_position.png",4,220,900)</f>
        <v/>
      </c>
      <c r="T1465">
        <f>IMAGE("https://mitra.stanford.edu/kundaje/oak/projects/neuro-variants/variant_position/credible/roussos_2024/variant_figures/roussos_2024.childhood.GLU/rs3026093_profile_position.png",4,220,900)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-0.0128414311399999</v>
      </c>
      <c r="G1466" t="n">
        <v>0.6077740425552799</v>
      </c>
      <c r="H1466" t="n">
        <v>0.0330800061060587</v>
      </c>
      <c r="I1466" t="n">
        <v>0.0140717955180615</v>
      </c>
      <c r="J1466" t="n">
        <v>0.0598236269793029</v>
      </c>
      <c r="K1466" t="n">
        <v>0.3317144532790423</v>
      </c>
      <c r="L1466" t="b">
        <v>1</v>
      </c>
      <c r="M1466" t="b">
        <v>0</v>
      </c>
      <c r="N1466" t="inlineStr">
        <is>
          <t>ref</t>
        </is>
      </c>
      <c r="O1466" t="n">
        <v>-80</v>
      </c>
      <c r="P1466" t="n">
        <v>0.04395</v>
      </c>
      <c r="Q1466" t="n">
        <v>-45</v>
      </c>
      <c r="R1466" t="n">
        <v>0.0837</v>
      </c>
      <c r="S1466">
        <f>IMAGE("https://mitra.stanford.edu/kundaje/oak/projects/neuro-variants/variant_position/credible/roussos_2024/variant_figures/roussos_2024.childhood.GLU/rs9932517_count_position.png",4,220,900)</f>
        <v/>
      </c>
      <c r="T1466">
        <f>IMAGE("https://mitra.stanford.edu/kundaje/oak/projects/neuro-variants/variant_position/credible/roussos_2024/variant_figures/roussos_2024.childhood.GLU/rs9932517_profile_position.png",4,220,900)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-0.0893407302</v>
      </c>
      <c r="G1467" t="n">
        <v>0.0648828422423495</v>
      </c>
      <c r="H1467" t="n">
        <v>0.0181705150521067</v>
      </c>
      <c r="I1467" t="n">
        <v>0.1390220176626862</v>
      </c>
      <c r="J1467" t="n">
        <v>0.1185078347945233</v>
      </c>
      <c r="K1467" t="n">
        <v>0.2240722830943394</v>
      </c>
      <c r="L1467" t="b">
        <v>0</v>
      </c>
      <c r="M1467" t="b">
        <v>0</v>
      </c>
      <c r="N1467" t="inlineStr">
        <is>
          <t>ref</t>
        </is>
      </c>
      <c r="O1467" t="n">
        <v>-10</v>
      </c>
      <c r="P1467" t="n">
        <v>0.01422</v>
      </c>
      <c r="Q1467" t="n">
        <v>-15</v>
      </c>
      <c r="R1467" t="n">
        <v>0.02905</v>
      </c>
      <c r="S1467">
        <f>IMAGE("https://mitra.stanford.edu/kundaje/oak/projects/neuro-variants/variant_position/credible/roussos_2024/variant_figures/roussos_2024.childhood.GLU/rs11861556_count_position.png",4,220,900)</f>
        <v/>
      </c>
      <c r="T1467">
        <f>IMAGE("https://mitra.stanford.edu/kundaje/oak/projects/neuro-variants/variant_position/credible/roussos_2024/variant_figures/roussos_2024.childhood.GLU/rs11861556_profile_position.png",4,220,900)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-0.0606171612</v>
      </c>
      <c r="G1468" t="n">
        <v>0.1368995804499369</v>
      </c>
      <c r="H1468" t="n">
        <v>0.009094535965268701</v>
      </c>
      <c r="I1468" t="n">
        <v>0.7632074585991808</v>
      </c>
      <c r="J1468" t="n">
        <v>0.3041115930233755</v>
      </c>
      <c r="K1468" t="n">
        <v>0.09657949190932449</v>
      </c>
      <c r="L1468" t="b">
        <v>0</v>
      </c>
      <c r="M1468" t="b">
        <v>0</v>
      </c>
      <c r="N1468" t="inlineStr">
        <is>
          <t>ref</t>
        </is>
      </c>
      <c r="O1468" t="n">
        <v>-95</v>
      </c>
      <c r="P1468" t="n">
        <v>0.003235</v>
      </c>
      <c r="Q1468" t="n">
        <v>-40</v>
      </c>
      <c r="R1468" t="n">
        <v>0.0396</v>
      </c>
      <c r="S1468">
        <f>IMAGE("https://mitra.stanford.edu/kundaje/oak/projects/neuro-variants/variant_position/credible/roussos_2024/variant_figures/roussos_2024.childhood.GLU/rs28442574_count_position.png",4,220,900)</f>
        <v/>
      </c>
      <c r="T1468">
        <f>IMAGE("https://mitra.stanford.edu/kundaje/oak/projects/neuro-variants/variant_position/credible/roussos_2024/variant_figures/roussos_2024.childhood.GLU/rs28442574_profile_position.png",4,220,900)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0.0124209904314</v>
      </c>
      <c r="G1469" t="n">
        <v>0.6004297538204771</v>
      </c>
      <c r="H1469" t="n">
        <v>0.0092312006933991</v>
      </c>
      <c r="I1469" t="n">
        <v>0.7408734019796072</v>
      </c>
      <c r="J1469" t="n">
        <v>0.2606766460280013</v>
      </c>
      <c r="K1469" t="n">
        <v>0.1147942154614303</v>
      </c>
      <c r="L1469" t="b">
        <v>0</v>
      </c>
      <c r="M1469" t="b">
        <v>0</v>
      </c>
      <c r="N1469" t="inlineStr">
        <is>
          <t>alt</t>
        </is>
      </c>
      <c r="O1469" t="n">
        <v>40</v>
      </c>
      <c r="P1469" t="n">
        <v>0.007565</v>
      </c>
      <c r="Q1469" t="n">
        <v>-10</v>
      </c>
      <c r="R1469" t="n">
        <v>0.00647</v>
      </c>
      <c r="S1469">
        <f>IMAGE("https://mitra.stanford.edu/kundaje/oak/projects/neuro-variants/variant_position/credible/roussos_2024/variant_figures/roussos_2024.childhood.GLU/rs73586830_count_position.png",4,220,900)</f>
        <v/>
      </c>
      <c r="T1469">
        <f>IMAGE("https://mitra.stanford.edu/kundaje/oak/projects/neuro-variants/variant_position/credible/roussos_2024/variant_figures/roussos_2024.childhood.GLU/rs73586830_profile_position.png",4,220,900)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-0.0841716176</v>
      </c>
      <c r="G1470" t="n">
        <v>0.0660367739777355</v>
      </c>
      <c r="H1470" t="n">
        <v>0.0228538596891434</v>
      </c>
      <c r="I1470" t="n">
        <v>0.0647297308479397</v>
      </c>
      <c r="J1470" t="n">
        <v>0.3806473878867174</v>
      </c>
      <c r="K1470" t="n">
        <v>0.0696772640691484</v>
      </c>
      <c r="L1470" t="b">
        <v>0</v>
      </c>
      <c r="M1470" t="b">
        <v>0</v>
      </c>
      <c r="N1470" t="inlineStr">
        <is>
          <t>ref</t>
        </is>
      </c>
      <c r="O1470" t="n">
        <v>-95</v>
      </c>
      <c r="P1470" t="n">
        <v>0.02046</v>
      </c>
      <c r="Q1470" t="n">
        <v>65</v>
      </c>
      <c r="R1470" t="n">
        <v>0.0854</v>
      </c>
      <c r="S1470">
        <f>IMAGE("https://mitra.stanford.edu/kundaje/oak/projects/neuro-variants/variant_position/credible/roussos_2024/variant_figures/roussos_2024.childhood.GLU/rs59454517_count_position.png",4,220,900)</f>
        <v/>
      </c>
      <c r="T1470">
        <f>IMAGE("https://mitra.stanford.edu/kundaje/oak/projects/neuro-variants/variant_position/credible/roussos_2024/variant_figures/roussos_2024.childhood.GLU/rs59454517_profile_position.png",4,220,900)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-0.00710085882</v>
      </c>
      <c r="G1471" t="n">
        <v>0.6438371782077972</v>
      </c>
      <c r="H1471" t="n">
        <v>0.0116456577563379</v>
      </c>
      <c r="I1471" t="n">
        <v>0.479116799473099</v>
      </c>
      <c r="J1471" t="n">
        <v>0.0889231149618304</v>
      </c>
      <c r="K1471" t="n">
        <v>0.2649551722730006</v>
      </c>
      <c r="L1471" t="b">
        <v>0</v>
      </c>
      <c r="M1471" t="b">
        <v>0</v>
      </c>
      <c r="N1471" t="inlineStr">
        <is>
          <t>ref</t>
        </is>
      </c>
      <c r="O1471" t="n">
        <v>80</v>
      </c>
      <c r="P1471" t="n">
        <v>0.004196</v>
      </c>
      <c r="Q1471" t="n">
        <v>100</v>
      </c>
      <c r="R1471" t="n">
        <v>0.03235</v>
      </c>
      <c r="S1471">
        <f>IMAGE("https://mitra.stanford.edu/kundaje/oak/projects/neuro-variants/variant_position/credible/roussos_2024/variant_figures/roussos_2024.childhood.GLU/rs17767961_count_position.png",4,220,900)</f>
        <v/>
      </c>
      <c r="T1471">
        <f>IMAGE("https://mitra.stanford.edu/kundaje/oak/projects/neuro-variants/variant_position/credible/roussos_2024/variant_figures/roussos_2024.childhood.GLU/rs17767961_profile_position.png",4,220,900)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-0.0423098404</v>
      </c>
      <c r="G1472" t="n">
        <v>0.2358673595438106</v>
      </c>
      <c r="H1472" t="n">
        <v>0.0310355642636357</v>
      </c>
      <c r="I1472" t="n">
        <v>0.019133091696082</v>
      </c>
      <c r="J1472" t="n">
        <v>0.0302028495781264</v>
      </c>
      <c r="K1472" t="n">
        <v>0.4305062554480104</v>
      </c>
      <c r="L1472" t="b">
        <v>1</v>
      </c>
      <c r="M1472" t="b">
        <v>0</v>
      </c>
      <c r="N1472" t="inlineStr">
        <is>
          <t>ref</t>
        </is>
      </c>
      <c r="O1472" t="n">
        <v>95</v>
      </c>
      <c r="P1472" t="n">
        <v>0.008970000000000001</v>
      </c>
      <c r="Q1472" t="n">
        <v>95</v>
      </c>
      <c r="R1472" t="n">
        <v>0.06419999999999999</v>
      </c>
      <c r="S1472">
        <f>IMAGE("https://mitra.stanford.edu/kundaje/oak/projects/neuro-variants/variant_position/credible/roussos_2024/variant_figures/roussos_2024.childhood.GLU/rs150710353_count_position.png",4,220,900)</f>
        <v/>
      </c>
      <c r="T1472">
        <f>IMAGE("https://mitra.stanford.edu/kundaje/oak/projects/neuro-variants/variant_position/credible/roussos_2024/variant_figures/roussos_2024.childhood.GLU/rs150710353_profile_position.png",4,220,900)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-0.0353458834</v>
      </c>
      <c r="G1473" t="n">
        <v>0.2794497407643722</v>
      </c>
      <c r="H1473" t="n">
        <v>0.0076733072566074</v>
      </c>
      <c r="I1473" t="n">
        <v>0.8681285021266816</v>
      </c>
      <c r="J1473" t="n">
        <v>0.0547508422017781</v>
      </c>
      <c r="K1473" t="n">
        <v>0.346733127826798</v>
      </c>
      <c r="L1473" t="b">
        <v>0</v>
      </c>
      <c r="M1473" t="b">
        <v>0</v>
      </c>
      <c r="N1473" t="inlineStr">
        <is>
          <t>ref</t>
        </is>
      </c>
      <c r="O1473" t="n">
        <v>20</v>
      </c>
      <c r="P1473" t="n">
        <v>0.001648</v>
      </c>
      <c r="Q1473" t="n">
        <v>-5</v>
      </c>
      <c r="R1473" t="n">
        <v>0.001465</v>
      </c>
      <c r="S1473">
        <f>IMAGE("https://mitra.stanford.edu/kundaje/oak/projects/neuro-variants/variant_position/credible/roussos_2024/variant_figures/roussos_2024.childhood.GLU/rs77801206_count_position.png",4,220,900)</f>
        <v/>
      </c>
      <c r="T1473">
        <f>IMAGE("https://mitra.stanford.edu/kundaje/oak/projects/neuro-variants/variant_position/credible/roussos_2024/variant_figures/roussos_2024.childhood.GLU/rs77801206_profile_position.png",4,220,900)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-0.1045327424</v>
      </c>
      <c r="G1474" t="n">
        <v>0.0471573998676183</v>
      </c>
      <c r="H1474" t="n">
        <v>0.0150704927936755</v>
      </c>
      <c r="I1474" t="n">
        <v>0.2427722496940854</v>
      </c>
      <c r="J1474" t="n">
        <v>0.092941988523391</v>
      </c>
      <c r="K1474" t="n">
        <v>0.2573199929283809</v>
      </c>
      <c r="L1474" t="b">
        <v>0</v>
      </c>
      <c r="M1474" t="b">
        <v>0</v>
      </c>
      <c r="N1474" t="inlineStr">
        <is>
          <t>ref</t>
        </is>
      </c>
      <c r="O1474" t="n">
        <v>-65</v>
      </c>
      <c r="P1474" t="n">
        <v>0.00354</v>
      </c>
      <c r="Q1474" t="n">
        <v>-60</v>
      </c>
      <c r="R1474" t="n">
        <v>0.05542</v>
      </c>
      <c r="S1474">
        <f>IMAGE("https://mitra.stanford.edu/kundaje/oak/projects/neuro-variants/variant_position/credible/roussos_2024/variant_figures/roussos_2024.childhood.GLU/rs148571332_count_position.png",4,220,900)</f>
        <v/>
      </c>
      <c r="T1474">
        <f>IMAGE("https://mitra.stanford.edu/kundaje/oak/projects/neuro-variants/variant_position/credible/roussos_2024/variant_figures/roussos_2024.childhood.GLU/rs148571332_profile_position.png",4,220,900)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0.0772128502</v>
      </c>
      <c r="G1475" t="n">
        <v>0.0790151699247567</v>
      </c>
      <c r="H1475" t="n">
        <v>0.0182768663513852</v>
      </c>
      <c r="I1475" t="n">
        <v>0.1342784814000554</v>
      </c>
      <c r="J1475" t="n">
        <v>0.08916006469757989</v>
      </c>
      <c r="K1475" t="n">
        <v>0.2631211094998087</v>
      </c>
      <c r="L1475" t="b">
        <v>0</v>
      </c>
      <c r="M1475" t="b">
        <v>0</v>
      </c>
      <c r="N1475" t="inlineStr">
        <is>
          <t>alt</t>
        </is>
      </c>
      <c r="O1475" t="n">
        <v>-15</v>
      </c>
      <c r="P1475" t="n">
        <v>0.001373</v>
      </c>
      <c r="Q1475" t="n">
        <v>-15</v>
      </c>
      <c r="R1475" t="n">
        <v>0.0315</v>
      </c>
      <c r="S1475">
        <f>IMAGE("https://mitra.stanford.edu/kundaje/oak/projects/neuro-variants/variant_position/credible/roussos_2024/variant_figures/roussos_2024.childhood.GLU/rs8047207_count_position.png",4,220,900)</f>
        <v/>
      </c>
      <c r="T1475">
        <f>IMAGE("https://mitra.stanford.edu/kundaje/oak/projects/neuro-variants/variant_position/credible/roussos_2024/variant_figures/roussos_2024.childhood.GLU/rs8047207_profile_position.png",4,220,900)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-0.0067504321539999</v>
      </c>
      <c r="G1476" t="n">
        <v>0.7699840639284155</v>
      </c>
      <c r="H1476" t="n">
        <v>0.0072873046105849</v>
      </c>
      <c r="I1476" t="n">
        <v>0.9118776718228776</v>
      </c>
      <c r="J1476" t="n">
        <v>0.1290181008993787</v>
      </c>
      <c r="K1476" t="n">
        <v>0.2089613248066633</v>
      </c>
      <c r="L1476" t="b">
        <v>0</v>
      </c>
      <c r="M1476" t="b">
        <v>0</v>
      </c>
      <c r="N1476" t="inlineStr">
        <is>
          <t>ref</t>
        </is>
      </c>
      <c r="O1476" t="n">
        <v>-90</v>
      </c>
      <c r="P1476" t="n">
        <v>0.009795999999999999</v>
      </c>
      <c r="Q1476" t="n">
        <v>-100</v>
      </c>
      <c r="R1476" t="n">
        <v>0.1549</v>
      </c>
      <c r="S1476">
        <f>IMAGE("https://mitra.stanford.edu/kundaje/oak/projects/neuro-variants/variant_position/credible/roussos_2024/variant_figures/roussos_2024.childhood.GLU/rs76171566_count_position.png",4,220,900)</f>
        <v/>
      </c>
      <c r="T1476">
        <f>IMAGE("https://mitra.stanford.edu/kundaje/oak/projects/neuro-variants/variant_position/credible/roussos_2024/variant_figures/roussos_2024.childhood.GLU/rs76171566_profile_position.png",4,220,900)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0.00371253546</v>
      </c>
      <c r="G1477" t="n">
        <v>0.7414034890419228</v>
      </c>
      <c r="H1477" t="n">
        <v>0.0220807246890039</v>
      </c>
      <c r="I1477" t="n">
        <v>0.0690963128428206</v>
      </c>
      <c r="J1477" t="n">
        <v>0.0061297866422161</v>
      </c>
      <c r="K1477" t="n">
        <v>0.6531180083329674</v>
      </c>
      <c r="L1477" t="b">
        <v>0</v>
      </c>
      <c r="M1477" t="b">
        <v>0</v>
      </c>
      <c r="N1477" t="inlineStr">
        <is>
          <t>alt</t>
        </is>
      </c>
      <c r="O1477" t="n">
        <v>95</v>
      </c>
      <c r="P1477" t="n">
        <v>0.01227</v>
      </c>
      <c r="Q1477" t="n">
        <v>-100</v>
      </c>
      <c r="R1477" t="n">
        <v>0.1081</v>
      </c>
      <c r="S1477">
        <f>IMAGE("https://mitra.stanford.edu/kundaje/oak/projects/neuro-variants/variant_position/credible/roussos_2024/variant_figures/roussos_2024.childhood.GLU/rs78587942_count_position.png",4,220,900)</f>
        <v/>
      </c>
      <c r="T1477">
        <f>IMAGE("https://mitra.stanford.edu/kundaje/oak/projects/neuro-variants/variant_position/credible/roussos_2024/variant_figures/roussos_2024.childhood.GLU/rs78587942_profile_position.png",4,220,900)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-0.0756746572</v>
      </c>
      <c r="G1478" t="n">
        <v>0.09403947122792281</v>
      </c>
      <c r="H1478" t="n">
        <v>0.0182314497754556</v>
      </c>
      <c r="I1478" t="n">
        <v>0.1414833598645317</v>
      </c>
      <c r="J1478" t="n">
        <v>0.4128107389741106</v>
      </c>
      <c r="K1478" t="n">
        <v>0.0612637826298109</v>
      </c>
      <c r="L1478" t="b">
        <v>0</v>
      </c>
      <c r="M1478" t="b">
        <v>0</v>
      </c>
      <c r="N1478" t="inlineStr">
        <is>
          <t>ref</t>
        </is>
      </c>
      <c r="O1478" t="n">
        <v>60</v>
      </c>
      <c r="P1478" t="n">
        <v>0.001099</v>
      </c>
      <c r="Q1478" t="n">
        <v>5</v>
      </c>
      <c r="R1478" t="n">
        <v>0.001465</v>
      </c>
      <c r="S1478">
        <f>IMAGE("https://mitra.stanford.edu/kundaje/oak/projects/neuro-variants/variant_position/credible/roussos_2024/variant_figures/roussos_2024.childhood.GLU/rs2290699_count_position.png",4,220,900)</f>
        <v/>
      </c>
      <c r="T1478">
        <f>IMAGE("https://mitra.stanford.edu/kundaje/oak/projects/neuro-variants/variant_position/credible/roussos_2024/variant_figures/roussos_2024.childhood.GLU/rs2290699_profile_position.png",4,220,900)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-0.00249684794</v>
      </c>
      <c r="G1479" t="n">
        <v>0.58773799271982</v>
      </c>
      <c r="H1479" t="n">
        <v>0.008454826803856201</v>
      </c>
      <c r="I1479" t="n">
        <v>0.80518924395729</v>
      </c>
      <c r="J1479" t="n">
        <v>0.5228996466358289</v>
      </c>
      <c r="K1479" t="n">
        <v>0.0383287854027952</v>
      </c>
      <c r="L1479" t="b">
        <v>0</v>
      </c>
      <c r="M1479" t="b">
        <v>0</v>
      </c>
      <c r="N1479" t="inlineStr">
        <is>
          <t>ref</t>
        </is>
      </c>
      <c r="O1479" t="n">
        <v>70</v>
      </c>
      <c r="P1479" t="n">
        <v>0.00161</v>
      </c>
      <c r="Q1479" t="n">
        <v>45</v>
      </c>
      <c r="R1479" t="n">
        <v>0.03156</v>
      </c>
      <c r="S1479">
        <f>IMAGE("https://mitra.stanford.edu/kundaje/oak/projects/neuro-variants/variant_position/credible/roussos_2024/variant_figures/roussos_2024.childhood.GLU/rs116580887_count_position.png",4,220,900)</f>
        <v/>
      </c>
      <c r="T1479">
        <f>IMAGE("https://mitra.stanford.edu/kundaje/oak/projects/neuro-variants/variant_position/credible/roussos_2024/variant_figures/roussos_2024.childhood.GLU/rs116580887_profile_position.png",4,220,900)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0.02091258654</v>
      </c>
      <c r="G1480" t="n">
        <v>0.3912715393333478</v>
      </c>
      <c r="H1480" t="n">
        <v>0.009923329292853</v>
      </c>
      <c r="I1480" t="n">
        <v>0.6605467110630087</v>
      </c>
      <c r="J1480" t="n">
        <v>0.1167049563703421</v>
      </c>
      <c r="K1480" t="n">
        <v>0.2229511731332416</v>
      </c>
      <c r="L1480" t="b">
        <v>0</v>
      </c>
      <c r="M1480" t="b">
        <v>0</v>
      </c>
      <c r="N1480" t="inlineStr">
        <is>
          <t>alt</t>
        </is>
      </c>
      <c r="O1480" t="n">
        <v>-25</v>
      </c>
      <c r="P1480" t="n">
        <v>0.002586</v>
      </c>
      <c r="Q1480" t="n">
        <v>-100</v>
      </c>
      <c r="R1480" t="n">
        <v>0.08325</v>
      </c>
      <c r="S1480">
        <f>IMAGE("https://mitra.stanford.edu/kundaje/oak/projects/neuro-variants/variant_position/credible/roussos_2024/variant_figures/roussos_2024.childhood.GLU/rs78805615_count_position.png",4,220,900)</f>
        <v/>
      </c>
      <c r="T1480">
        <f>IMAGE("https://mitra.stanford.edu/kundaje/oak/projects/neuro-variants/variant_position/credible/roussos_2024/variant_figures/roussos_2024.childhood.GLU/rs78805615_profile_position.png",4,220,900)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-0.0668243348</v>
      </c>
      <c r="G1481" t="n">
        <v>0.1143346097112671</v>
      </c>
      <c r="H1481" t="n">
        <v>0.0101991523431083</v>
      </c>
      <c r="I1481" t="n">
        <v>0.6330614858120708</v>
      </c>
      <c r="J1481" t="n">
        <v>0.3062554730237877</v>
      </c>
      <c r="K1481" t="n">
        <v>0.0940415652716968</v>
      </c>
      <c r="L1481" t="b">
        <v>0</v>
      </c>
      <c r="M1481" t="b">
        <v>0</v>
      </c>
      <c r="N1481" t="inlineStr">
        <is>
          <t>ref</t>
        </is>
      </c>
      <c r="O1481" t="n">
        <v>95</v>
      </c>
      <c r="P1481" t="n">
        <v>0.003334</v>
      </c>
      <c r="Q1481" t="n">
        <v>25</v>
      </c>
      <c r="R1481" t="n">
        <v>0.03943</v>
      </c>
      <c r="S1481">
        <f>IMAGE("https://mitra.stanford.edu/kundaje/oak/projects/neuro-variants/variant_position/credible/roussos_2024/variant_figures/roussos_2024.childhood.GLU/rs12925938_count_position.png",4,220,900)</f>
        <v/>
      </c>
      <c r="T1481">
        <f>IMAGE("https://mitra.stanford.edu/kundaje/oak/projects/neuro-variants/variant_position/credible/roussos_2024/variant_figures/roussos_2024.childhood.GLU/rs12925938_profile_position.png",4,220,900)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-0.0112088823999999</v>
      </c>
      <c r="G1482" t="n">
        <v>0.6322756282047937</v>
      </c>
      <c r="H1482" t="n">
        <v>0.0143332080115373</v>
      </c>
      <c r="I1482" t="n">
        <v>0.2841933866437588</v>
      </c>
      <c r="J1482" t="n">
        <v>0.6674915264714063</v>
      </c>
      <c r="K1482" t="n">
        <v>0.0183510427980012</v>
      </c>
      <c r="L1482" t="b">
        <v>0</v>
      </c>
      <c r="M1482" t="b">
        <v>0</v>
      </c>
      <c r="N1482" t="inlineStr">
        <is>
          <t>ref</t>
        </is>
      </c>
      <c r="O1482" t="n">
        <v>-45</v>
      </c>
      <c r="P1482" t="n">
        <v>0.001926</v>
      </c>
      <c r="Q1482" t="n">
        <v>-50</v>
      </c>
      <c r="R1482" t="n">
        <v>0.01929</v>
      </c>
      <c r="S1482">
        <f>IMAGE("https://mitra.stanford.edu/kundaje/oak/projects/neuro-variants/variant_position/credible/roussos_2024/variant_figures/roussos_2024.childhood.GLU/rs71395853_count_position.png",4,220,900)</f>
        <v/>
      </c>
      <c r="T1482">
        <f>IMAGE("https://mitra.stanford.edu/kundaje/oak/projects/neuro-variants/variant_position/credible/roussos_2024/variant_figures/roussos_2024.childhood.GLU/rs71395853_profile_position.png",4,220,900)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0.1139054392</v>
      </c>
      <c r="G1483" t="n">
        <v>0.0325877625185631</v>
      </c>
      <c r="H1483" t="n">
        <v>0.0359071768920591</v>
      </c>
      <c r="I1483" t="n">
        <v>0.0109985742474137</v>
      </c>
      <c r="J1483" t="n">
        <v>0.6673534774949261</v>
      </c>
      <c r="K1483" t="n">
        <v>0.0181606734281726</v>
      </c>
      <c r="L1483" t="b">
        <v>1</v>
      </c>
      <c r="M1483" t="b">
        <v>0</v>
      </c>
      <c r="N1483" t="inlineStr">
        <is>
          <t>alt</t>
        </is>
      </c>
      <c r="O1483" t="n">
        <v>-95</v>
      </c>
      <c r="P1483" t="n">
        <v>0.0346</v>
      </c>
      <c r="Q1483" t="n">
        <v>-95</v>
      </c>
      <c r="R1483" t="n">
        <v>0.3203</v>
      </c>
      <c r="S1483">
        <f>IMAGE("https://mitra.stanford.edu/kundaje/oak/projects/neuro-variants/variant_position/credible/roussos_2024/variant_figures/roussos_2024.childhood.GLU/rs11862968_count_position.png",4,220,900)</f>
        <v/>
      </c>
      <c r="T1483">
        <f>IMAGE("https://mitra.stanford.edu/kundaje/oak/projects/neuro-variants/variant_position/credible/roussos_2024/variant_figures/roussos_2024.childhood.GLU/rs11862968_profile_position.png",4,220,900)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-0.0274421362</v>
      </c>
      <c r="G1484" t="n">
        <v>0.3868839771608518</v>
      </c>
      <c r="H1484" t="n">
        <v>0.0116740465981672</v>
      </c>
      <c r="I1484" t="n">
        <v>0.4898742965687322</v>
      </c>
      <c r="J1484" t="n">
        <v>0.0002905209803537</v>
      </c>
      <c r="K1484" t="n">
        <v>0.9044542557442848</v>
      </c>
      <c r="L1484" t="b">
        <v>0</v>
      </c>
      <c r="M1484" t="b">
        <v>0</v>
      </c>
      <c r="N1484" t="inlineStr">
        <is>
          <t>ref</t>
        </is>
      </c>
      <c r="O1484" t="n">
        <v>75</v>
      </c>
      <c r="P1484" t="n">
        <v>0.002419</v>
      </c>
      <c r="Q1484" t="n">
        <v>50</v>
      </c>
      <c r="R1484" t="n">
        <v>0.01405</v>
      </c>
      <c r="S1484">
        <f>IMAGE("https://mitra.stanford.edu/kundaje/oak/projects/neuro-variants/variant_position/credible/roussos_2024/variant_figures/roussos_2024.childhood.GLU/rs34669336_count_position.png",4,220,900)</f>
        <v/>
      </c>
      <c r="T1484">
        <f>IMAGE("https://mitra.stanford.edu/kundaje/oak/projects/neuro-variants/variant_position/credible/roussos_2024/variant_figures/roussos_2024.childhood.GLU/rs34669336_profile_position.png",4,220,900)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0.0196740642</v>
      </c>
      <c r="G1485" t="n">
        <v>0.4511769535472116</v>
      </c>
      <c r="H1485" t="n">
        <v>0.0460043476622339</v>
      </c>
      <c r="I1485" t="n">
        <v>0.0037657987517282</v>
      </c>
      <c r="J1485" t="n">
        <v>0.0278549867617212</v>
      </c>
      <c r="K1485" t="n">
        <v>0.4385291560315254</v>
      </c>
      <c r="L1485" t="b">
        <v>1</v>
      </c>
      <c r="M1485" t="b">
        <v>0</v>
      </c>
      <c r="N1485" t="inlineStr">
        <is>
          <t>alt</t>
        </is>
      </c>
      <c r="O1485" t="n">
        <v>100</v>
      </c>
      <c r="P1485" t="n">
        <v>0.002289</v>
      </c>
      <c r="Q1485" t="n">
        <v>80</v>
      </c>
      <c r="R1485" t="n">
        <v>0.133</v>
      </c>
      <c r="S1485">
        <f>IMAGE("https://mitra.stanford.edu/kundaje/oak/projects/neuro-variants/variant_position/credible/roussos_2024/variant_figures/roussos_2024.childhood.GLU/rs11641316_count_position.png",4,220,900)</f>
        <v/>
      </c>
      <c r="T1485">
        <f>IMAGE("https://mitra.stanford.edu/kundaje/oak/projects/neuro-variants/variant_position/credible/roussos_2024/variant_figures/roussos_2024.childhood.GLU/rs11641316_profile_position.png",4,220,900)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0.000595302534</v>
      </c>
      <c r="G1486" t="n">
        <v>0.7410749885492268</v>
      </c>
      <c r="H1486" t="n">
        <v>0.008260384390918901</v>
      </c>
      <c r="I1486" t="n">
        <v>0.8486671443167036</v>
      </c>
      <c r="J1486" t="n">
        <v>0.0766017287028546</v>
      </c>
      <c r="K1486" t="n">
        <v>0.2958283658787819</v>
      </c>
      <c r="L1486" t="b">
        <v>0</v>
      </c>
      <c r="M1486" t="b">
        <v>0</v>
      </c>
      <c r="N1486" t="inlineStr">
        <is>
          <t>alt</t>
        </is>
      </c>
      <c r="O1486" t="n">
        <v>-90</v>
      </c>
      <c r="P1486" t="n">
        <v>0.04773</v>
      </c>
      <c r="Q1486" t="n">
        <v>80</v>
      </c>
      <c r="R1486" t="n">
        <v>0.1367</v>
      </c>
      <c r="S1486">
        <f>IMAGE("https://mitra.stanford.edu/kundaje/oak/projects/neuro-variants/variant_position/credible/roussos_2024/variant_figures/roussos_2024.childhood.GLU/rs13339524_count_position.png",4,220,900)</f>
        <v/>
      </c>
      <c r="T1486">
        <f>IMAGE("https://mitra.stanford.edu/kundaje/oak/projects/neuro-variants/variant_position/credible/roussos_2024/variant_figures/roussos_2024.childhood.GLU/rs13339524_profile_position.png",4,220,900)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0.0352113652</v>
      </c>
      <c r="G1487" t="n">
        <v>0.2738601747110123</v>
      </c>
      <c r="H1487" t="n">
        <v>0.0093868533697858</v>
      </c>
      <c r="I1487" t="n">
        <v>0.6998983606316849</v>
      </c>
      <c r="J1487" t="n">
        <v>0.2588562539276994</v>
      </c>
      <c r="K1487" t="n">
        <v>0.1149032716947314</v>
      </c>
      <c r="L1487" t="b">
        <v>0</v>
      </c>
      <c r="M1487" t="b">
        <v>0</v>
      </c>
      <c r="N1487" t="inlineStr">
        <is>
          <t>alt</t>
        </is>
      </c>
      <c r="O1487" t="n">
        <v>-55</v>
      </c>
      <c r="P1487" t="n">
        <v>0.005108</v>
      </c>
      <c r="Q1487" t="n">
        <v>-65</v>
      </c>
      <c r="R1487" t="n">
        <v>0.05774</v>
      </c>
      <c r="S1487">
        <f>IMAGE("https://mitra.stanford.edu/kundaje/oak/projects/neuro-variants/variant_position/credible/roussos_2024/variant_figures/roussos_2024.childhood.GLU/rs2242413_count_position.png",4,220,900)</f>
        <v/>
      </c>
      <c r="T1487">
        <f>IMAGE("https://mitra.stanford.edu/kundaje/oak/projects/neuro-variants/variant_position/credible/roussos_2024/variant_figures/roussos_2024.childhood.GLU/rs2242413_profile_position.png",4,220,900)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0.0119781422</v>
      </c>
      <c r="G1488" t="n">
        <v>0.4661665259508888</v>
      </c>
      <c r="H1488" t="n">
        <v>0.0193439651267411</v>
      </c>
      <c r="I1488" t="n">
        <v>0.1123626836468005</v>
      </c>
      <c r="J1488" t="n">
        <v>0.0555348367622363</v>
      </c>
      <c r="K1488" t="n">
        <v>0.3332263912248701</v>
      </c>
      <c r="L1488" t="b">
        <v>0</v>
      </c>
      <c r="M1488" t="b">
        <v>0</v>
      </c>
      <c r="N1488" t="inlineStr">
        <is>
          <t>alt</t>
        </is>
      </c>
      <c r="O1488" t="n">
        <v>-50</v>
      </c>
      <c r="P1488" t="n">
        <v>0.002441</v>
      </c>
      <c r="Q1488" t="n">
        <v>20</v>
      </c>
      <c r="R1488" t="n">
        <v>0.04727</v>
      </c>
      <c r="S1488">
        <f>IMAGE("https://mitra.stanford.edu/kundaje/oak/projects/neuro-variants/variant_position/credible/roussos_2024/variant_figures/roussos_2024.childhood.GLU/rs9939870_count_position.png",4,220,900)</f>
        <v/>
      </c>
      <c r="T1488">
        <f>IMAGE("https://mitra.stanford.edu/kundaje/oak/projects/neuro-variants/variant_position/credible/roussos_2024/variant_figures/roussos_2024.childhood.GLU/rs9939870_profile_position.png",4,220,900)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0.089113186</v>
      </c>
      <c r="G1489" t="n">
        <v>0.0554796713588523</v>
      </c>
      <c r="H1489" t="n">
        <v>0.0294135979449268</v>
      </c>
      <c r="I1489" t="n">
        <v>0.0233757203859223</v>
      </c>
      <c r="J1489" t="n">
        <v>0.2140665725735831</v>
      </c>
      <c r="K1489" t="n">
        <v>0.1393849577142666</v>
      </c>
      <c r="L1489" t="b">
        <v>0</v>
      </c>
      <c r="M1489" t="b">
        <v>0</v>
      </c>
      <c r="N1489" t="inlineStr">
        <is>
          <t>alt</t>
        </is>
      </c>
      <c r="O1489" t="n">
        <v>100</v>
      </c>
      <c r="P1489" t="n">
        <v>0.01813</v>
      </c>
      <c r="Q1489" t="n">
        <v>-100</v>
      </c>
      <c r="R1489" t="n">
        <v>0.05292</v>
      </c>
      <c r="S1489">
        <f>IMAGE("https://mitra.stanford.edu/kundaje/oak/projects/neuro-variants/variant_position/credible/roussos_2024/variant_figures/roussos_2024.childhood.GLU/rs35124791_count_position.png",4,220,900)</f>
        <v/>
      </c>
      <c r="T1489">
        <f>IMAGE("https://mitra.stanford.edu/kundaje/oak/projects/neuro-variants/variant_position/credible/roussos_2024/variant_figures/roussos_2024.childhood.GLU/rs35124791_profile_position.png",4,220,900)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-0.00998182068</v>
      </c>
      <c r="G1490" t="n">
        <v>0.4759437244830398</v>
      </c>
      <c r="H1490" t="n">
        <v>0.0088215141929702</v>
      </c>
      <c r="I1490" t="n">
        <v>0.7751523611718185</v>
      </c>
      <c r="J1490" t="n">
        <v>0.07888365767974689</v>
      </c>
      <c r="K1490" t="n">
        <v>0.2833245801582424</v>
      </c>
      <c r="L1490" t="b">
        <v>0</v>
      </c>
      <c r="M1490" t="b">
        <v>0</v>
      </c>
      <c r="N1490" t="inlineStr">
        <is>
          <t>ref</t>
        </is>
      </c>
      <c r="O1490" t="n">
        <v>-55</v>
      </c>
      <c r="P1490" t="n">
        <v>0.004864</v>
      </c>
      <c r="Q1490" t="n">
        <v>55</v>
      </c>
      <c r="R1490" t="n">
        <v>0.007446</v>
      </c>
      <c r="S1490">
        <f>IMAGE("https://mitra.stanford.edu/kundaje/oak/projects/neuro-variants/variant_position/credible/roussos_2024/variant_figures/roussos_2024.childhood.GLU/rs3785074_count_position.png",4,220,900)</f>
        <v/>
      </c>
      <c r="T1490">
        <f>IMAGE("https://mitra.stanford.edu/kundaje/oak/projects/neuro-variants/variant_position/credible/roussos_2024/variant_figures/roussos_2024.childhood.GLU/rs3785074_profile_position.png",4,220,900)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-0.262415318</v>
      </c>
      <c r="G1491" t="n">
        <v>0.0036080385470437</v>
      </c>
      <c r="H1491" t="n">
        <v>0.0353348184715141</v>
      </c>
      <c r="I1491" t="n">
        <v>0.0121421437896811</v>
      </c>
      <c r="J1491" t="n">
        <v>0.0747411581690996</v>
      </c>
      <c r="K1491" t="n">
        <v>0.2909823752337396</v>
      </c>
      <c r="L1491" t="b">
        <v>1</v>
      </c>
      <c r="M1491" t="b">
        <v>1</v>
      </c>
      <c r="N1491" t="inlineStr">
        <is>
          <t>ref</t>
        </is>
      </c>
      <c r="O1491" t="n">
        <v>10</v>
      </c>
      <c r="P1491" t="n">
        <v>0.001022</v>
      </c>
      <c r="Q1491" t="n">
        <v>80</v>
      </c>
      <c r="R1491" t="n">
        <v>0.0779</v>
      </c>
      <c r="S1491">
        <f>IMAGE("https://mitra.stanford.edu/kundaje/oak/projects/neuro-variants/variant_position/credible/roussos_2024/variant_figures/roussos_2024.childhood.GLU/rs11150463_count_position.png",4,220,900)</f>
        <v/>
      </c>
      <c r="T1491">
        <f>IMAGE("https://mitra.stanford.edu/kundaje/oak/projects/neuro-variants/variant_position/credible/roussos_2024/variant_figures/roussos_2024.childhood.GLU/rs11150463_profile_position.png",4,220,900)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0.1739859648</v>
      </c>
      <c r="G1492" t="n">
        <v>0.011590314493601</v>
      </c>
      <c r="H1492" t="n">
        <v>0.023238434668571</v>
      </c>
      <c r="I1492" t="n">
        <v>0.0589514801528284</v>
      </c>
      <c r="J1492" t="n">
        <v>0.1257389225998536</v>
      </c>
      <c r="K1492" t="n">
        <v>0.21832662195846</v>
      </c>
      <c r="L1492" t="b">
        <v>1</v>
      </c>
      <c r="M1492" t="b">
        <v>0</v>
      </c>
      <c r="N1492" t="inlineStr">
        <is>
          <t>alt</t>
        </is>
      </c>
      <c r="O1492" t="n">
        <v>100</v>
      </c>
      <c r="P1492" t="n">
        <v>0.002625</v>
      </c>
      <c r="Q1492" t="n">
        <v>100</v>
      </c>
      <c r="R1492" t="n">
        <v>0.0862</v>
      </c>
      <c r="S1492">
        <f>IMAGE("https://mitra.stanford.edu/kundaje/oak/projects/neuro-variants/variant_position/credible/roussos_2024/variant_figures/roussos_2024.childhood.GLU/rs9940266_count_position.png",4,220,900)</f>
        <v/>
      </c>
      <c r="T1492">
        <f>IMAGE("https://mitra.stanford.edu/kundaje/oak/projects/neuro-variants/variant_position/credible/roussos_2024/variant_figures/roussos_2024.childhood.GLU/rs9940266_profile_position.png",4,220,900)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-0.0524180474</v>
      </c>
      <c r="G1493" t="n">
        <v>0.1606467226824351</v>
      </c>
      <c r="H1493" t="n">
        <v>0.0156330337033367</v>
      </c>
      <c r="I1493" t="n">
        <v>0.2162303148293407</v>
      </c>
      <c r="J1493" t="n">
        <v>0.3111098519579259</v>
      </c>
      <c r="K1493" t="n">
        <v>0.0927404628751194</v>
      </c>
      <c r="L1493" t="b">
        <v>0</v>
      </c>
      <c r="M1493" t="b">
        <v>0</v>
      </c>
      <c r="N1493" t="inlineStr">
        <is>
          <t>ref</t>
        </is>
      </c>
      <c r="O1493" t="n">
        <v>75</v>
      </c>
      <c r="P1493" t="n">
        <v>0.009889999999999999</v>
      </c>
      <c r="Q1493" t="n">
        <v>90</v>
      </c>
      <c r="R1493" t="n">
        <v>0.03564</v>
      </c>
      <c r="S1493">
        <f>IMAGE("https://mitra.stanford.edu/kundaje/oak/projects/neuro-variants/variant_position/credible/roussos_2024/variant_figures/roussos_2024.childhood.GLU/rs4782721_count_position.png",4,220,900)</f>
        <v/>
      </c>
      <c r="T1493">
        <f>IMAGE("https://mitra.stanford.edu/kundaje/oak/projects/neuro-variants/variant_position/credible/roussos_2024/variant_figures/roussos_2024.childhood.GLU/rs4782721_profile_position.png",4,220,900)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-0.149917567</v>
      </c>
      <c r="G1494" t="n">
        <v>0.0187419060695119</v>
      </c>
      <c r="H1494" t="n">
        <v>0.0237642767498728</v>
      </c>
      <c r="I1494" t="n">
        <v>0.06319683078194351</v>
      </c>
      <c r="J1494" t="n">
        <v>0.2947067489466038</v>
      </c>
      <c r="K1494" t="n">
        <v>0.0989417264219333</v>
      </c>
      <c r="L1494" t="b">
        <v>1</v>
      </c>
      <c r="M1494" t="b">
        <v>0</v>
      </c>
      <c r="N1494" t="inlineStr">
        <is>
          <t>ref</t>
        </is>
      </c>
      <c r="O1494" t="n">
        <v>-70</v>
      </c>
      <c r="P1494" t="n">
        <v>0.002281</v>
      </c>
      <c r="Q1494" t="n">
        <v>55</v>
      </c>
      <c r="R1494" t="n">
        <v>0.049</v>
      </c>
      <c r="S1494">
        <f>IMAGE("https://mitra.stanford.edu/kundaje/oak/projects/neuro-variants/variant_position/credible/roussos_2024/variant_figures/roussos_2024.childhood.GLU/rs7202931_count_position.png",4,220,900)</f>
        <v/>
      </c>
      <c r="T1494">
        <f>IMAGE("https://mitra.stanford.edu/kundaje/oak/projects/neuro-variants/variant_position/credible/roussos_2024/variant_figures/roussos_2024.childhood.GLU/rs7202931_profile_position.png",4,220,900)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0.0619519444</v>
      </c>
      <c r="G1495" t="n">
        <v>0.1268304719200179</v>
      </c>
      <c r="H1495" t="n">
        <v>0.0155968333777221</v>
      </c>
      <c r="I1495" t="n">
        <v>0.2193511626992985</v>
      </c>
      <c r="J1495" t="n">
        <v>0.1207166184182059</v>
      </c>
      <c r="K1495" t="n">
        <v>0.218150409850329</v>
      </c>
      <c r="L1495" t="b">
        <v>0</v>
      </c>
      <c r="M1495" t="b">
        <v>0</v>
      </c>
      <c r="N1495" t="inlineStr">
        <is>
          <t>alt</t>
        </is>
      </c>
      <c r="O1495" t="n">
        <v>20</v>
      </c>
      <c r="P1495" t="n">
        <v>0.002075</v>
      </c>
      <c r="Q1495" t="n">
        <v>95</v>
      </c>
      <c r="R1495" t="n">
        <v>0.007812</v>
      </c>
      <c r="S1495">
        <f>IMAGE("https://mitra.stanford.edu/kundaje/oak/projects/neuro-variants/variant_position/credible/roussos_2024/variant_figures/roussos_2024.childhood.GLU/rs12930379_count_position.png",4,220,900)</f>
        <v/>
      </c>
      <c r="T1495">
        <f>IMAGE("https://mitra.stanford.edu/kundaje/oak/projects/neuro-variants/variant_position/credible/roussos_2024/variant_figures/roussos_2024.childhood.GLU/rs12930379_profile_position.png",4,220,900)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0.08248833680000001</v>
      </c>
      <c r="G1496" t="n">
        <v>0.07136565662719881</v>
      </c>
      <c r="H1496" t="n">
        <v>0.0126281321299366</v>
      </c>
      <c r="I1496" t="n">
        <v>0.4032138777867751</v>
      </c>
      <c r="J1496" t="n">
        <v>0.0864742909536711</v>
      </c>
      <c r="K1496" t="n">
        <v>0.2722358197432484</v>
      </c>
      <c r="L1496" t="b">
        <v>0</v>
      </c>
      <c r="M1496" t="b">
        <v>0</v>
      </c>
      <c r="N1496" t="inlineStr">
        <is>
          <t>alt</t>
        </is>
      </c>
      <c r="O1496" t="n">
        <v>40</v>
      </c>
      <c r="P1496" t="n">
        <v>0.00528</v>
      </c>
      <c r="Q1496" t="n">
        <v>-90</v>
      </c>
      <c r="R1496" t="n">
        <v>0.07477</v>
      </c>
      <c r="S1496">
        <f>IMAGE("https://mitra.stanford.edu/kundaje/oak/projects/neuro-variants/variant_position/credible/roussos_2024/variant_figures/roussos_2024.childhood.GLU/rs3114896_count_position.png",4,220,900)</f>
        <v/>
      </c>
      <c r="T1496">
        <f>IMAGE("https://mitra.stanford.edu/kundaje/oak/projects/neuro-variants/variant_position/credible/roussos_2024/variant_figures/roussos_2024.childhood.GLU/rs3114896_profile_position.png",4,220,900)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0.0356943182</v>
      </c>
      <c r="G1497" t="n">
        <v>0.2743863772679432</v>
      </c>
      <c r="H1497" t="n">
        <v>0.0136343030926656</v>
      </c>
      <c r="I1497" t="n">
        <v>0.3313262361380505</v>
      </c>
      <c r="J1497" t="n">
        <v>0.3850134443219631</v>
      </c>
      <c r="K1497" t="n">
        <v>0.0686086204078331</v>
      </c>
      <c r="L1497" t="b">
        <v>0</v>
      </c>
      <c r="M1497" t="b">
        <v>0</v>
      </c>
      <c r="N1497" t="inlineStr">
        <is>
          <t>alt</t>
        </is>
      </c>
      <c r="O1497" t="n">
        <v>-85</v>
      </c>
      <c r="P1497" t="n">
        <v>0.005665</v>
      </c>
      <c r="Q1497" t="n">
        <v>100</v>
      </c>
      <c r="R1497" t="n">
        <v>0.3682</v>
      </c>
      <c r="S1497">
        <f>IMAGE("https://mitra.stanford.edu/kundaje/oak/projects/neuro-variants/variant_position/credible/roussos_2024/variant_figures/roussos_2024.childhood.GLU/rs3114881_count_position.png",4,220,900)</f>
        <v/>
      </c>
      <c r="T1497">
        <f>IMAGE("https://mitra.stanford.edu/kundaje/oak/projects/neuro-variants/variant_position/credible/roussos_2024/variant_figures/roussos_2024.childhood.GLU/rs3114881_profile_position.png",4,220,900)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-0.01138411926</v>
      </c>
      <c r="G1498" t="n">
        <v>0.6306532048940355</v>
      </c>
      <c r="H1498" t="n">
        <v>0.0313547273285234</v>
      </c>
      <c r="I1498" t="n">
        <v>0.0186354744653419</v>
      </c>
      <c r="J1498" t="n">
        <v>0.3160208927853956</v>
      </c>
      <c r="K1498" t="n">
        <v>0.0909155210119334</v>
      </c>
      <c r="L1498" t="b">
        <v>1</v>
      </c>
      <c r="M1498" t="b">
        <v>0</v>
      </c>
      <c r="N1498" t="inlineStr">
        <is>
          <t>ref</t>
        </is>
      </c>
      <c r="O1498" t="n">
        <v>-100</v>
      </c>
      <c r="P1498" t="n">
        <v>0.1274</v>
      </c>
      <c r="Q1498" t="n">
        <v>-100</v>
      </c>
      <c r="R1498" t="n">
        <v>0.0751</v>
      </c>
      <c r="S1498">
        <f>IMAGE("https://mitra.stanford.edu/kundaje/oak/projects/neuro-variants/variant_position/credible/roussos_2024/variant_figures/roussos_2024.childhood.GLU/rs369449674_count_position.png",4,220,900)</f>
        <v/>
      </c>
      <c r="T1498">
        <f>IMAGE("https://mitra.stanford.edu/kundaje/oak/projects/neuro-variants/variant_position/credible/roussos_2024/variant_figures/roussos_2024.childhood.GLU/rs369449674_profile_position.png",4,220,900)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0.0915804536</v>
      </c>
      <c r="G1499" t="n">
        <v>0.0636784175732333</v>
      </c>
      <c r="H1499" t="n">
        <v>0.0202229458807288</v>
      </c>
      <c r="I1499" t="n">
        <v>0.09401812706071561</v>
      </c>
      <c r="J1499" t="n">
        <v>0.3924279106184388</v>
      </c>
      <c r="K1499" t="n">
        <v>0.0666250259896846</v>
      </c>
      <c r="L1499" t="b">
        <v>0</v>
      </c>
      <c r="M1499" t="b">
        <v>0</v>
      </c>
      <c r="N1499" t="inlineStr">
        <is>
          <t>alt</t>
        </is>
      </c>
      <c r="O1499" t="n">
        <v>-100</v>
      </c>
      <c r="P1499" t="n">
        <v>0.03088</v>
      </c>
      <c r="Q1499" t="n">
        <v>15</v>
      </c>
      <c r="R1499" t="n">
        <v>0.02466</v>
      </c>
      <c r="S1499">
        <f>IMAGE("https://mitra.stanford.edu/kundaje/oak/projects/neuro-variants/variant_position/credible/roussos_2024/variant_figures/roussos_2024.childhood.GLU/rs4785573_count_position.png",4,220,900)</f>
        <v/>
      </c>
      <c r="T1499">
        <f>IMAGE("https://mitra.stanford.edu/kundaje/oak/projects/neuro-variants/variant_position/credible/roussos_2024/variant_figures/roussos_2024.childhood.GLU/rs4785573_profile_position.png",4,220,900)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-0.0662622336</v>
      </c>
      <c r="G1500" t="n">
        <v>0.1222593827021435</v>
      </c>
      <c r="H1500" t="n">
        <v>0.0179767061443091</v>
      </c>
      <c r="I1500" t="n">
        <v>0.1449935511214974</v>
      </c>
      <c r="J1500" t="n">
        <v>0.7146486447505331</v>
      </c>
      <c r="K1500" t="n">
        <v>0.0135203015466997</v>
      </c>
      <c r="L1500" t="b">
        <v>0</v>
      </c>
      <c r="M1500" t="b">
        <v>0</v>
      </c>
      <c r="N1500" t="inlineStr">
        <is>
          <t>ref</t>
        </is>
      </c>
      <c r="O1500" t="n">
        <v>-100</v>
      </c>
      <c r="P1500" t="n">
        <v>0.01918</v>
      </c>
      <c r="Q1500" t="n">
        <v>100</v>
      </c>
      <c r="R1500" t="n">
        <v>0.3032</v>
      </c>
      <c r="S1500">
        <f>IMAGE("https://mitra.stanford.edu/kundaje/oak/projects/neuro-variants/variant_position/credible/roussos_2024/variant_figures/roussos_2024.childhood.GLU/rs34607811_count_position.png",4,220,900)</f>
        <v/>
      </c>
      <c r="T1500">
        <f>IMAGE("https://mitra.stanford.edu/kundaje/oak/projects/neuro-variants/variant_position/credible/roussos_2024/variant_figures/roussos_2024.childhood.GLU/rs34607811_profile_position.png",4,220,900)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-0.047466266</v>
      </c>
      <c r="G1501" t="n">
        <v>0.1988783920920001</v>
      </c>
      <c r="H1501" t="n">
        <v>0.0159288761055148</v>
      </c>
      <c r="I1501" t="n">
        <v>0.2048221438639795</v>
      </c>
      <c r="J1501" t="n">
        <v>0.4647830879701649</v>
      </c>
      <c r="K1501" t="n">
        <v>0.0494728801359645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0.03232</v>
      </c>
      <c r="Q1501" t="n">
        <v>80</v>
      </c>
      <c r="R1501" t="n">
        <v>0.1282</v>
      </c>
      <c r="S1501">
        <f>IMAGE("https://mitra.stanford.edu/kundaje/oak/projects/neuro-variants/variant_position/credible/roussos_2024/variant_figures/roussos_2024.childhood.GLU/rs72805595_count_position.png",4,220,900)</f>
        <v/>
      </c>
      <c r="T1501">
        <f>IMAGE("https://mitra.stanford.edu/kundaje/oak/projects/neuro-variants/variant_position/credible/roussos_2024/variant_figures/roussos_2024.childhood.GLU/rs72805595_profile_position.png",4,220,900)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0.0610099524</v>
      </c>
      <c r="G1502" t="n">
        <v>0.1236167922058036</v>
      </c>
      <c r="H1502" t="n">
        <v>0.009751154740500799</v>
      </c>
      <c r="I1502" t="n">
        <v>0.6943011638378999</v>
      </c>
      <c r="J1502" t="n">
        <v>0.3751089453676326</v>
      </c>
      <c r="K1502" t="n">
        <v>0.0716406131626033</v>
      </c>
      <c r="L1502" t="b">
        <v>0</v>
      </c>
      <c r="M1502" t="b">
        <v>0</v>
      </c>
      <c r="N1502" t="inlineStr">
        <is>
          <t>alt</t>
        </is>
      </c>
      <c r="O1502" t="n">
        <v>-80</v>
      </c>
      <c r="P1502" t="n">
        <v>0.04144</v>
      </c>
      <c r="Q1502" t="n">
        <v>-65</v>
      </c>
      <c r="R1502" t="n">
        <v>0.1255</v>
      </c>
      <c r="S1502">
        <f>IMAGE("https://mitra.stanford.edu/kundaje/oak/projects/neuro-variants/variant_position/credible/roussos_2024/variant_figures/roussos_2024.childhood.GLU/rs467357_count_position.png",4,220,900)</f>
        <v/>
      </c>
      <c r="T1502">
        <f>IMAGE("https://mitra.stanford.edu/kundaje/oak/projects/neuro-variants/variant_position/credible/roussos_2024/variant_figures/roussos_2024.childhood.GLU/rs467357_profile_position.png",4,220,900)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-0.0537870151999999</v>
      </c>
      <c r="G1503" t="n">
        <v>0.1673012160967856</v>
      </c>
      <c r="H1503" t="n">
        <v>0.0128273310646237</v>
      </c>
      <c r="I1503" t="n">
        <v>0.3874769091271542</v>
      </c>
      <c r="J1503" t="n">
        <v>0.4701494843767707</v>
      </c>
      <c r="K1503" t="n">
        <v>0.047746480617968</v>
      </c>
      <c r="L1503" t="b">
        <v>0</v>
      </c>
      <c r="M1503" t="b">
        <v>0</v>
      </c>
      <c r="N1503" t="inlineStr">
        <is>
          <t>ref</t>
        </is>
      </c>
      <c r="O1503" t="n">
        <v>100</v>
      </c>
      <c r="P1503" t="n">
        <v>0.004524</v>
      </c>
      <c r="Q1503" t="n">
        <v>-95</v>
      </c>
      <c r="R1503" t="n">
        <v>0.0629</v>
      </c>
      <c r="S1503">
        <f>IMAGE("https://mitra.stanford.edu/kundaje/oak/projects/neuro-variants/variant_position/credible/roussos_2024/variant_figures/roussos_2024.childhood.GLU/rs1230_count_position.png",4,220,900)</f>
        <v/>
      </c>
      <c r="T1503">
        <f>IMAGE("https://mitra.stanford.edu/kundaje/oak/projects/neuro-variants/variant_position/credible/roussos_2024/variant_figures/roussos_2024.childhood.GLU/rs1230_profile_position.png",4,220,900)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-0.084790712</v>
      </c>
      <c r="G1504" t="n">
        <v>0.07091432177336179</v>
      </c>
      <c r="H1504" t="n">
        <v>0.0171889877687795</v>
      </c>
      <c r="I1504" t="n">
        <v>0.165330644862286</v>
      </c>
      <c r="J1504" t="n">
        <v>0.5316101249652301</v>
      </c>
      <c r="K1504" t="n">
        <v>0.0365131188245418</v>
      </c>
      <c r="L1504" t="b">
        <v>0</v>
      </c>
      <c r="M1504" t="b">
        <v>0</v>
      </c>
      <c r="N1504" t="inlineStr">
        <is>
          <t>ref</t>
        </is>
      </c>
      <c r="O1504" t="n">
        <v>90</v>
      </c>
      <c r="P1504" t="n">
        <v>0.012665</v>
      </c>
      <c r="Q1504" t="n">
        <v>75</v>
      </c>
      <c r="R1504" t="n">
        <v>0.05347</v>
      </c>
      <c r="S1504">
        <f>IMAGE("https://mitra.stanford.edu/kundaje/oak/projects/neuro-variants/variant_position/credible/roussos_2024/variant_figures/roussos_2024.childhood.GLU/rs12102297_count_position.png",4,220,900)</f>
        <v/>
      </c>
      <c r="T1504">
        <f>IMAGE("https://mitra.stanford.edu/kundaje/oak/projects/neuro-variants/variant_position/credible/roussos_2024/variant_figures/roussos_2024.childhood.GLU/rs12102297_profile_position.png",4,220,900)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0.01873023112</v>
      </c>
      <c r="G1505" t="n">
        <v>0.4793361207257126</v>
      </c>
      <c r="H1505" t="n">
        <v>0.0381628683228704</v>
      </c>
      <c r="I1505" t="n">
        <v>0.0078922125928693</v>
      </c>
      <c r="J1505" t="n">
        <v>0.0241977191012392</v>
      </c>
      <c r="K1505" t="n">
        <v>0.4626399400695662</v>
      </c>
      <c r="L1505" t="b">
        <v>1</v>
      </c>
      <c r="M1505" t="b">
        <v>0</v>
      </c>
      <c r="N1505" t="inlineStr">
        <is>
          <t>alt</t>
        </is>
      </c>
      <c r="O1505" t="n">
        <v>-100</v>
      </c>
      <c r="P1505" t="n">
        <v>0.09143</v>
      </c>
      <c r="Q1505" t="n">
        <v>100</v>
      </c>
      <c r="R1505" t="n">
        <v>0.06287</v>
      </c>
      <c r="S1505">
        <f>IMAGE("https://mitra.stanford.edu/kundaje/oak/projects/neuro-variants/variant_position/credible/roussos_2024/variant_figures/roussos_2024.childhood.GLU/rs12447465_count_position.png",4,220,900)</f>
        <v/>
      </c>
      <c r="T1505">
        <f>IMAGE("https://mitra.stanford.edu/kundaje/oak/projects/neuro-variants/variant_position/credible/roussos_2024/variant_figures/roussos_2024.childhood.GLU/rs12447465_profile_position.png",4,220,900)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-0.0060138808</v>
      </c>
      <c r="G1506" t="n">
        <v>0.7289634920015855</v>
      </c>
      <c r="H1506" t="n">
        <v>0.0107643751728716</v>
      </c>
      <c r="I1506" t="n">
        <v>0.5751322481265695</v>
      </c>
      <c r="J1506" t="n">
        <v>0.2825574088001071</v>
      </c>
      <c r="K1506" t="n">
        <v>0.1042521608350349</v>
      </c>
      <c r="L1506" t="b">
        <v>0</v>
      </c>
      <c r="M1506" t="b">
        <v>0</v>
      </c>
      <c r="N1506" t="inlineStr">
        <is>
          <t>ref</t>
        </is>
      </c>
      <c r="O1506" t="n">
        <v>-90</v>
      </c>
      <c r="P1506" t="n">
        <v>0.002907</v>
      </c>
      <c r="Q1506" t="n">
        <v>100</v>
      </c>
      <c r="R1506" t="n">
        <v>0.07825</v>
      </c>
      <c r="S1506">
        <f>IMAGE("https://mitra.stanford.edu/kundaje/oak/projects/neuro-variants/variant_position/credible/roussos_2024/variant_figures/roussos_2024.childhood.GLU/rs4785595_count_position.png",4,220,900)</f>
        <v/>
      </c>
      <c r="T1506">
        <f>IMAGE("https://mitra.stanford.edu/kundaje/oak/projects/neuro-variants/variant_position/credible/roussos_2024/variant_figures/roussos_2024.childhood.GLU/rs4785595_profile_position.png",4,220,900)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-0.0614158313999999</v>
      </c>
      <c r="G1507" t="n">
        <v>0.1523408437647817</v>
      </c>
      <c r="H1507" t="n">
        <v>0.0138371352756317</v>
      </c>
      <c r="I1507" t="n">
        <v>0.3200773312349496</v>
      </c>
      <c r="J1507" t="n">
        <v>0.4482161805763029</v>
      </c>
      <c r="K1507" t="n">
        <v>0.052885531015744</v>
      </c>
      <c r="L1507" t="b">
        <v>0</v>
      </c>
      <c r="M1507" t="b">
        <v>0</v>
      </c>
      <c r="N1507" t="inlineStr">
        <is>
          <t>ref</t>
        </is>
      </c>
      <c r="O1507" t="n">
        <v>-30</v>
      </c>
      <c r="P1507" t="n">
        <v>0.001082</v>
      </c>
      <c r="Q1507" t="n">
        <v>75</v>
      </c>
      <c r="R1507" t="n">
        <v>0.0396</v>
      </c>
      <c r="S1507">
        <f>IMAGE("https://mitra.stanford.edu/kundaje/oak/projects/neuro-variants/variant_position/credible/roussos_2024/variant_figures/roussos_2024.childhood.GLU/rs886952_count_position.png",4,220,900)</f>
        <v/>
      </c>
      <c r="T1507">
        <f>IMAGE("https://mitra.stanford.edu/kundaje/oak/projects/neuro-variants/variant_position/credible/roussos_2024/variant_figures/roussos_2024.childhood.GLU/rs886952_profile_position.png",4,220,900)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-0.0314983058</v>
      </c>
      <c r="G1508" t="n">
        <v>0.3299821965687367</v>
      </c>
      <c r="H1508" t="n">
        <v>0.0127408413655022</v>
      </c>
      <c r="I1508" t="n">
        <v>0.3907660949197479</v>
      </c>
      <c r="J1508" t="n">
        <v>0.4891260675615811</v>
      </c>
      <c r="K1508" t="n">
        <v>0.0446604540259423</v>
      </c>
      <c r="L1508" t="b">
        <v>0</v>
      </c>
      <c r="M1508" t="b">
        <v>0</v>
      </c>
      <c r="N1508" t="inlineStr">
        <is>
          <t>ref</t>
        </is>
      </c>
      <c r="O1508" t="n">
        <v>-75</v>
      </c>
      <c r="P1508" t="n">
        <v>0.01404</v>
      </c>
      <c r="Q1508" t="n">
        <v>-75</v>
      </c>
      <c r="R1508" t="n">
        <v>0.2812</v>
      </c>
      <c r="S1508">
        <f>IMAGE("https://mitra.stanford.edu/kundaje/oak/projects/neuro-variants/variant_position/credible/roussos_2024/variant_figures/roussos_2024.childhood.GLU/rs4785721_count_position.png",4,220,900)</f>
        <v/>
      </c>
      <c r="T1508">
        <f>IMAGE("https://mitra.stanford.edu/kundaje/oak/projects/neuro-variants/variant_position/credible/roussos_2024/variant_figures/roussos_2024.childhood.GLU/rs4785721_profile_position.png",4,220,900)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0.008421057060000001</v>
      </c>
      <c r="G1509" t="n">
        <v>0.6541449911710144</v>
      </c>
      <c r="H1509" t="n">
        <v>0.0185024667598769</v>
      </c>
      <c r="I1509" t="n">
        <v>0.1269980517533334</v>
      </c>
      <c r="J1509" t="n">
        <v>0.2107255812995147</v>
      </c>
      <c r="K1509" t="n">
        <v>0.1419176206830886</v>
      </c>
      <c r="L1509" t="b">
        <v>0</v>
      </c>
      <c r="M1509" t="b">
        <v>0</v>
      </c>
      <c r="N1509" t="inlineStr">
        <is>
          <t>alt</t>
        </is>
      </c>
      <c r="O1509" t="n">
        <v>85</v>
      </c>
      <c r="P1509" t="n">
        <v>0.06383999999999999</v>
      </c>
      <c r="Q1509" t="n">
        <v>-85</v>
      </c>
      <c r="R1509" t="n">
        <v>0.197</v>
      </c>
      <c r="S1509">
        <f>IMAGE("https://mitra.stanford.edu/kundaje/oak/projects/neuro-variants/variant_position/credible/roussos_2024/variant_figures/roussos_2024.childhood.GLU/rs1558184_count_position.png",4,220,900)</f>
        <v/>
      </c>
      <c r="T1509">
        <f>IMAGE("https://mitra.stanford.edu/kundaje/oak/projects/neuro-variants/variant_position/credible/roussos_2024/variant_figures/roussos_2024.childhood.GLU/rs1558184_profile_position.png",4,220,900)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0.1276357202</v>
      </c>
      <c r="G1510" t="n">
        <v>0.0293001344692893</v>
      </c>
      <c r="H1510" t="n">
        <v>0.0245982030867572</v>
      </c>
      <c r="I1510" t="n">
        <v>0.0502392164886184</v>
      </c>
      <c r="J1510" t="n">
        <v>0.3074536145136863</v>
      </c>
      <c r="K1510" t="n">
        <v>0.094251068497644</v>
      </c>
      <c r="L1510" t="b">
        <v>0</v>
      </c>
      <c r="M1510" t="b">
        <v>0</v>
      </c>
      <c r="N1510" t="inlineStr">
        <is>
          <t>alt</t>
        </is>
      </c>
      <c r="O1510" t="n">
        <v>-45</v>
      </c>
      <c r="P1510" t="n">
        <v>0.006767</v>
      </c>
      <c r="Q1510" t="n">
        <v>-100</v>
      </c>
      <c r="R1510" t="n">
        <v>0.1938</v>
      </c>
      <c r="S1510">
        <f>IMAGE("https://mitra.stanford.edu/kundaje/oak/projects/neuro-variants/variant_position/credible/roussos_2024/variant_figures/roussos_2024.childhood.GLU/rs17232672_count_position.png",4,220,900)</f>
        <v/>
      </c>
      <c r="T1510">
        <f>IMAGE("https://mitra.stanford.edu/kundaje/oak/projects/neuro-variants/variant_position/credible/roussos_2024/variant_figures/roussos_2024.childhood.GLU/rs17232672_profile_position.png",4,220,900)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0.0634162138</v>
      </c>
      <c r="G1511" t="n">
        <v>0.114184931640698</v>
      </c>
      <c r="H1511" t="n">
        <v>0.0104575623889496</v>
      </c>
      <c r="I1511" t="n">
        <v>0.6104951234859457</v>
      </c>
      <c r="J1511" t="n">
        <v>0.225260902263385</v>
      </c>
      <c r="K1511" t="n">
        <v>0.1335797593983275</v>
      </c>
      <c r="L1511" t="b">
        <v>0</v>
      </c>
      <c r="M1511" t="b">
        <v>0</v>
      </c>
      <c r="N1511" t="inlineStr">
        <is>
          <t>alt</t>
        </is>
      </c>
      <c r="O1511" t="n">
        <v>-10</v>
      </c>
      <c r="P1511" t="n">
        <v>0.003357</v>
      </c>
      <c r="Q1511" t="n">
        <v>-15</v>
      </c>
      <c r="R1511" t="n">
        <v>0.01685</v>
      </c>
      <c r="S1511">
        <f>IMAGE("https://mitra.stanford.edu/kundaje/oak/projects/neuro-variants/variant_position/credible/roussos_2024/variant_figures/roussos_2024.childhood.GLU/rs8045232_count_position.png",4,220,900)</f>
        <v/>
      </c>
      <c r="T1511">
        <f>IMAGE("https://mitra.stanford.edu/kundaje/oak/projects/neuro-variants/variant_position/credible/roussos_2024/variant_figures/roussos_2024.childhood.GLU/rs8045232_profile_position.png",4,220,900)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0.01103513624</v>
      </c>
      <c r="G1512" t="n">
        <v>0.6514982835963986</v>
      </c>
      <c r="H1512" t="n">
        <v>0.0107766249861278</v>
      </c>
      <c r="I1512" t="n">
        <v>0.5794924716606199</v>
      </c>
      <c r="J1512" t="n">
        <v>0.1312773651189384</v>
      </c>
      <c r="K1512" t="n">
        <v>0.2077967655079693</v>
      </c>
      <c r="L1512" t="b">
        <v>0</v>
      </c>
      <c r="M1512" t="b">
        <v>0</v>
      </c>
      <c r="N1512" t="inlineStr">
        <is>
          <t>alt</t>
        </is>
      </c>
      <c r="O1512" t="n">
        <v>25</v>
      </c>
      <c r="P1512" t="n">
        <v>0.001465</v>
      </c>
      <c r="Q1512" t="n">
        <v>-95</v>
      </c>
      <c r="R1512" t="n">
        <v>0.1203</v>
      </c>
      <c r="S1512">
        <f>IMAGE("https://mitra.stanford.edu/kundaje/oak/projects/neuro-variants/variant_position/credible/roussos_2024/variant_figures/roussos_2024.childhood.GLU/rs9938865_count_position.png",4,220,900)</f>
        <v/>
      </c>
      <c r="T1512">
        <f>IMAGE("https://mitra.stanford.edu/kundaje/oak/projects/neuro-variants/variant_position/credible/roussos_2024/variant_figures/roussos_2024.childhood.GLU/rs9938865_profile_position.png",4,220,900)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-0.0183758651599999</v>
      </c>
      <c r="G1513" t="n">
        <v>0.4898554408870212</v>
      </c>
      <c r="H1513" t="n">
        <v>0.008508701778499</v>
      </c>
      <c r="I1513" t="n">
        <v>0.8093347682281034</v>
      </c>
      <c r="J1513" t="n">
        <v>0.1557996023365304</v>
      </c>
      <c r="K1513" t="n">
        <v>0.1811413100533651</v>
      </c>
      <c r="L1513" t="b">
        <v>0</v>
      </c>
      <c r="M1513" t="b">
        <v>0</v>
      </c>
      <c r="N1513" t="inlineStr">
        <is>
          <t>ref</t>
        </is>
      </c>
      <c r="O1513" t="n">
        <v>60</v>
      </c>
      <c r="P1513" t="n">
        <v>0.03143</v>
      </c>
      <c r="Q1513" t="n">
        <v>65</v>
      </c>
      <c r="R1513" t="n">
        <v>0.1294</v>
      </c>
      <c r="S1513">
        <f>IMAGE("https://mitra.stanford.edu/kundaje/oak/projects/neuro-variants/variant_position/credible/roussos_2024/variant_figures/roussos_2024.childhood.GLU/rs9940552_count_position.png",4,220,900)</f>
        <v/>
      </c>
      <c r="T1513">
        <f>IMAGE("https://mitra.stanford.edu/kundaje/oak/projects/neuro-variants/variant_position/credible/roussos_2024/variant_figures/roussos_2024.childhood.GLU/rs9940552_profile_position.png",4,220,900)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-0.01593829726</v>
      </c>
      <c r="G1514" t="n">
        <v>0.5281320388051881</v>
      </c>
      <c r="H1514" t="n">
        <v>0.0328411610540392</v>
      </c>
      <c r="I1514" t="n">
        <v>0.0154222785523602</v>
      </c>
      <c r="J1514" t="n">
        <v>0.1845477865804032</v>
      </c>
      <c r="K1514" t="n">
        <v>0.1578750830532766</v>
      </c>
      <c r="L1514" t="b">
        <v>1</v>
      </c>
      <c r="M1514" t="b">
        <v>0</v>
      </c>
      <c r="N1514" t="inlineStr">
        <is>
          <t>ref</t>
        </is>
      </c>
      <c r="O1514" t="n">
        <v>100</v>
      </c>
      <c r="P1514" t="n">
        <v>0.02432</v>
      </c>
      <c r="Q1514" t="n">
        <v>-85</v>
      </c>
      <c r="R1514" t="n">
        <v>0.2034</v>
      </c>
      <c r="S1514">
        <f>IMAGE("https://mitra.stanford.edu/kundaje/oak/projects/neuro-variants/variant_position/credible/roussos_2024/variant_figures/roussos_2024.childhood.GLU/rs9927381_count_position.png",4,220,900)</f>
        <v/>
      </c>
      <c r="T1514">
        <f>IMAGE("https://mitra.stanford.edu/kundaje/oak/projects/neuro-variants/variant_position/credible/roussos_2024/variant_figures/roussos_2024.childhood.GLU/rs9927381_profile_position.png",4,220,900)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-0.0161796624</v>
      </c>
      <c r="G1515" t="n">
        <v>0.5263620081567939</v>
      </c>
      <c r="H1515" t="n">
        <v>0.0157863468528305</v>
      </c>
      <c r="I1515" t="n">
        <v>0.2167635308240188</v>
      </c>
      <c r="J1515" t="n">
        <v>0.187246953135463</v>
      </c>
      <c r="K1515" t="n">
        <v>0.1626740970271097</v>
      </c>
      <c r="L1515" t="b">
        <v>0</v>
      </c>
      <c r="M1515" t="b">
        <v>0</v>
      </c>
      <c r="N1515" t="inlineStr">
        <is>
          <t>ref</t>
        </is>
      </c>
      <c r="O1515" t="n">
        <v>-100</v>
      </c>
      <c r="P1515" t="n">
        <v>0.02509</v>
      </c>
      <c r="Q1515" t="n">
        <v>-100</v>
      </c>
      <c r="R1515" t="n">
        <v>0.049</v>
      </c>
      <c r="S1515">
        <f>IMAGE("https://mitra.stanford.edu/kundaje/oak/projects/neuro-variants/variant_position/credible/roussos_2024/variant_figures/roussos_2024.childhood.GLU/rs75329315_count_position.png",4,220,900)</f>
        <v/>
      </c>
      <c r="T1515">
        <f>IMAGE("https://mitra.stanford.edu/kundaje/oak/projects/neuro-variants/variant_position/credible/roussos_2024/variant_figures/roussos_2024.childhood.GLU/rs75329315_profile_position.png",4,220,900)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0.08883232599999991</v>
      </c>
      <c r="G1516" t="n">
        <v>0.0582510859905938</v>
      </c>
      <c r="H1516" t="n">
        <v>0.0385063125999664</v>
      </c>
      <c r="I1516" t="n">
        <v>0.0076837900413519</v>
      </c>
      <c r="J1516" t="n">
        <v>0.4513016782222588</v>
      </c>
      <c r="K1516" t="n">
        <v>0.0521572688322683</v>
      </c>
      <c r="L1516" t="b">
        <v>1</v>
      </c>
      <c r="M1516" t="b">
        <v>1</v>
      </c>
      <c r="N1516" t="inlineStr">
        <is>
          <t>alt</t>
        </is>
      </c>
      <c r="O1516" t="n">
        <v>-55</v>
      </c>
      <c r="P1516" t="n">
        <v>0.00641</v>
      </c>
      <c r="Q1516" t="n">
        <v>-40</v>
      </c>
      <c r="R1516" t="n">
        <v>0.10254</v>
      </c>
      <c r="S1516">
        <f>IMAGE("https://mitra.stanford.edu/kundaje/oak/projects/neuro-variants/variant_position/credible/roussos_2024/variant_figures/roussos_2024.childhood.GLU/rs7225625_count_position.png",4,220,900)</f>
        <v/>
      </c>
      <c r="T1516">
        <f>IMAGE("https://mitra.stanford.edu/kundaje/oak/projects/neuro-variants/variant_position/credible/roussos_2024/variant_figures/roussos_2024.childhood.GLU/rs7225625_profile_position.png",4,220,900)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0.0988879838</v>
      </c>
      <c r="G1517" t="n">
        <v>0.0469737951316837</v>
      </c>
      <c r="H1517" t="n">
        <v>0.0120883980289448</v>
      </c>
      <c r="I1517" t="n">
        <v>0.4380811913888564</v>
      </c>
      <c r="J1517" t="n">
        <v>0.4308827922981033</v>
      </c>
      <c r="K1517" t="n">
        <v>0.0568491121822495</v>
      </c>
      <c r="L1517" t="b">
        <v>0</v>
      </c>
      <c r="M1517" t="b">
        <v>0</v>
      </c>
      <c r="N1517" t="inlineStr">
        <is>
          <t>alt</t>
        </is>
      </c>
      <c r="O1517" t="n">
        <v>-80</v>
      </c>
      <c r="P1517" t="n">
        <v>0.01561</v>
      </c>
      <c r="Q1517" t="n">
        <v>-80</v>
      </c>
      <c r="R1517" t="n">
        <v>0.1033</v>
      </c>
      <c r="S1517">
        <f>IMAGE("https://mitra.stanford.edu/kundaje/oak/projects/neuro-variants/variant_position/credible/roussos_2024/variant_figures/roussos_2024.childhood.GLU/rs9906314_count_position.png",4,220,900)</f>
        <v/>
      </c>
      <c r="T1517">
        <f>IMAGE("https://mitra.stanford.edu/kundaje/oak/projects/neuro-variants/variant_position/credible/roussos_2024/variant_figures/roussos_2024.childhood.GLU/rs9906314_profile_position.png",4,220,900)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-0.00483253166</v>
      </c>
      <c r="G1518" t="n">
        <v>0.6758926709552461</v>
      </c>
      <c r="H1518" t="n">
        <v>0.0085582613215331</v>
      </c>
      <c r="I1518" t="n">
        <v>0.8167226326546981</v>
      </c>
      <c r="J1518" t="n">
        <v>0.2501540173282371</v>
      </c>
      <c r="K1518" t="n">
        <v>0.1184864636304599</v>
      </c>
      <c r="L1518" t="b">
        <v>0</v>
      </c>
      <c r="M1518" t="b">
        <v>0</v>
      </c>
      <c r="N1518" t="inlineStr">
        <is>
          <t>ref</t>
        </is>
      </c>
      <c r="O1518" t="n">
        <v>45</v>
      </c>
      <c r="P1518" t="n">
        <v>0.002506</v>
      </c>
      <c r="Q1518" t="n">
        <v>60</v>
      </c>
      <c r="R1518" t="n">
        <v>0.02972</v>
      </c>
      <c r="S1518">
        <f>IMAGE("https://mitra.stanford.edu/kundaje/oak/projects/neuro-variants/variant_position/credible/roussos_2024/variant_figures/roussos_2024.childhood.GLU/rs59539549_count_position.png",4,220,900)</f>
        <v/>
      </c>
      <c r="T1518">
        <f>IMAGE("https://mitra.stanford.edu/kundaje/oak/projects/neuro-variants/variant_position/credible/roussos_2024/variant_figures/roussos_2024.childhood.GLU/rs59539549_profile_position.png",4,220,900)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-0.00018677858</v>
      </c>
      <c r="G1519" t="n">
        <v>0.8534597009730146</v>
      </c>
      <c r="H1519" t="n">
        <v>0.016742049870997</v>
      </c>
      <c r="I1519" t="n">
        <v>0.1831199325046225</v>
      </c>
      <c r="J1519" t="n">
        <v>0.2411931964519352</v>
      </c>
      <c r="K1519" t="n">
        <v>0.1250616607387197</v>
      </c>
      <c r="L1519" t="b">
        <v>0</v>
      </c>
      <c r="M1519" t="b">
        <v>0</v>
      </c>
      <c r="N1519" t="inlineStr">
        <is>
          <t>ref</t>
        </is>
      </c>
      <c r="O1519" t="n">
        <v>-95</v>
      </c>
      <c r="P1519" t="n">
        <v>0.01178</v>
      </c>
      <c r="Q1519" t="n">
        <v>-55</v>
      </c>
      <c r="R1519" t="n">
        <v>0.1009</v>
      </c>
      <c r="S1519">
        <f>IMAGE("https://mitra.stanford.edu/kundaje/oak/projects/neuro-variants/variant_position/credible/roussos_2024/variant_figures/roussos_2024.childhood.GLU/rs73292184_count_position.png",4,220,900)</f>
        <v/>
      </c>
      <c r="T1519">
        <f>IMAGE("https://mitra.stanford.edu/kundaje/oak/projects/neuro-variants/variant_position/credible/roussos_2024/variant_figures/roussos_2024.childhood.GLU/rs73292184_profile_position.png",4,220,900)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0.0500265164</v>
      </c>
      <c r="G1520" t="n">
        <v>0.1702009859118764</v>
      </c>
      <c r="H1520" t="n">
        <v>0.0118989236383241</v>
      </c>
      <c r="I1520" t="n">
        <v>0.4522637570296171</v>
      </c>
      <c r="J1520" t="n">
        <v>0.380892579352406</v>
      </c>
      <c r="K1520" t="n">
        <v>0.0696515761502683</v>
      </c>
      <c r="L1520" t="b">
        <v>0</v>
      </c>
      <c r="M1520" t="b">
        <v>0</v>
      </c>
      <c r="N1520" t="inlineStr">
        <is>
          <t>alt</t>
        </is>
      </c>
      <c r="O1520" t="n">
        <v>-95</v>
      </c>
      <c r="P1520" t="n">
        <v>0.04352</v>
      </c>
      <c r="Q1520" t="n">
        <v>55</v>
      </c>
      <c r="R1520" t="n">
        <v>0.05347</v>
      </c>
      <c r="S1520">
        <f>IMAGE("https://mitra.stanford.edu/kundaje/oak/projects/neuro-variants/variant_position/credible/roussos_2024/variant_figures/roussos_2024.childhood.GLU/rs12449566_count_position.png",4,220,900)</f>
        <v/>
      </c>
      <c r="T1520">
        <f>IMAGE("https://mitra.stanford.edu/kundaje/oak/projects/neuro-variants/variant_position/credible/roussos_2024/variant_figures/roussos_2024.childhood.GLU/rs12449566_profile_position.png",4,220,900)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-0.1205585692</v>
      </c>
      <c r="G1521" t="n">
        <v>0.0379587719317924</v>
      </c>
      <c r="H1521" t="n">
        <v>0.0219923822544383</v>
      </c>
      <c r="I1521" t="n">
        <v>0.0798498947393833</v>
      </c>
      <c r="J1521" t="n">
        <v>0.3716196029546602</v>
      </c>
      <c r="K1521" t="n">
        <v>0.07241005823719041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0.03458</v>
      </c>
      <c r="Q1521" t="n">
        <v>35</v>
      </c>
      <c r="R1521" t="n">
        <v>0.034</v>
      </c>
      <c r="S1521">
        <f>IMAGE("https://mitra.stanford.edu/kundaje/oak/projects/neuro-variants/variant_position/credible/roussos_2024/variant_figures/roussos_2024.childhood.GLU/rs12450430_count_position.png",4,220,900)</f>
        <v/>
      </c>
      <c r="T1521">
        <f>IMAGE("https://mitra.stanford.edu/kundaje/oak/projects/neuro-variants/variant_position/credible/roussos_2024/variant_figures/roussos_2024.childhood.GLU/rs12450430_profile_position.png",4,220,900)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-0.01476941282</v>
      </c>
      <c r="G1522" t="n">
        <v>0.5743088590051703</v>
      </c>
      <c r="H1522" t="n">
        <v>0.009519568575479</v>
      </c>
      <c r="I1522" t="n">
        <v>0.7194423765390755</v>
      </c>
      <c r="J1522" t="n">
        <v>0.5096613679211266</v>
      </c>
      <c r="K1522" t="n">
        <v>0.0406273410644915</v>
      </c>
      <c r="L1522" t="b">
        <v>0</v>
      </c>
      <c r="M1522" t="b">
        <v>0</v>
      </c>
      <c r="N1522" t="inlineStr">
        <is>
          <t>ref</t>
        </is>
      </c>
      <c r="O1522" t="n">
        <v>20</v>
      </c>
      <c r="P1522" t="n">
        <v>0.001282</v>
      </c>
      <c r="Q1522" t="n">
        <v>100</v>
      </c>
      <c r="R1522" t="n">
        <v>0.2522</v>
      </c>
      <c r="S1522">
        <f>IMAGE("https://mitra.stanford.edu/kundaje/oak/projects/neuro-variants/variant_position/credible/roussos_2024/variant_figures/roussos_2024.childhood.GLU/rs11078769_count_position.png",4,220,900)</f>
        <v/>
      </c>
      <c r="T1522">
        <f>IMAGE("https://mitra.stanford.edu/kundaje/oak/projects/neuro-variants/variant_position/credible/roussos_2024/variant_figures/roussos_2024.childhood.GLU/rs11078769_profile_position.png",4,220,900)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0.069724519</v>
      </c>
      <c r="G1523" t="n">
        <v>0.0929760728115227</v>
      </c>
      <c r="H1523" t="n">
        <v>0.0132272882152079</v>
      </c>
      <c r="I1523" t="n">
        <v>0.3570526253406699</v>
      </c>
      <c r="J1523" t="n">
        <v>0.202130487189261</v>
      </c>
      <c r="K1523" t="n">
        <v>0.1478073558835122</v>
      </c>
      <c r="L1523" t="b">
        <v>0</v>
      </c>
      <c r="M1523" t="b">
        <v>0</v>
      </c>
      <c r="N1523" t="inlineStr">
        <is>
          <t>alt</t>
        </is>
      </c>
      <c r="O1523" t="n">
        <v>-100</v>
      </c>
      <c r="P1523" t="n">
        <v>0.01114</v>
      </c>
      <c r="Q1523" t="n">
        <v>100</v>
      </c>
      <c r="R1523" t="n">
        <v>0.0653</v>
      </c>
      <c r="S1523">
        <f>IMAGE("https://mitra.stanford.edu/kundaje/oak/projects/neuro-variants/variant_position/credible/roussos_2024/variant_figures/roussos_2024.childhood.GLU/rs4239070_count_position.png",4,220,900)</f>
        <v/>
      </c>
      <c r="T1523">
        <f>IMAGE("https://mitra.stanford.edu/kundaje/oak/projects/neuro-variants/variant_position/credible/roussos_2024/variant_figures/roussos_2024.childhood.GLU/rs4239070_profile_position.png",4,220,900)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0.01373599928</v>
      </c>
      <c r="G1524" t="n">
        <v>0.569890334260416</v>
      </c>
      <c r="H1524" t="n">
        <v>0.015570088741846</v>
      </c>
      <c r="I1524" t="n">
        <v>0.2271408749731663</v>
      </c>
      <c r="J1524" t="n">
        <v>0.4810213563827047</v>
      </c>
      <c r="K1524" t="n">
        <v>0.0462940139041684</v>
      </c>
      <c r="L1524" t="b">
        <v>0</v>
      </c>
      <c r="M1524" t="b">
        <v>0</v>
      </c>
      <c r="N1524" t="inlineStr">
        <is>
          <t>alt</t>
        </is>
      </c>
      <c r="O1524" t="n">
        <v>35</v>
      </c>
      <c r="P1524" t="n">
        <v>0.007637</v>
      </c>
      <c r="Q1524" t="n">
        <v>-25</v>
      </c>
      <c r="R1524" t="n">
        <v>0.04224</v>
      </c>
      <c r="S1524">
        <f>IMAGE("https://mitra.stanford.edu/kundaje/oak/projects/neuro-variants/variant_position/credible/roussos_2024/variant_figures/roussos_2024.childhood.GLU/rs4467122_count_position.png",4,220,900)</f>
        <v/>
      </c>
      <c r="T1524">
        <f>IMAGE("https://mitra.stanford.edu/kundaje/oak/projects/neuro-variants/variant_position/credible/roussos_2024/variant_figures/roussos_2024.childhood.GLU/rs4467122_profile_position.png",4,220,900)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-0.00754143202</v>
      </c>
      <c r="G1525" t="n">
        <v>0.7304482417613227</v>
      </c>
      <c r="H1525" t="n">
        <v>0.016084976445396</v>
      </c>
      <c r="I1525" t="n">
        <v>0.2058681511899872</v>
      </c>
      <c r="J1525" t="n">
        <v>0.8625320654805444</v>
      </c>
      <c r="K1525" t="n">
        <v>0.0038460405509446</v>
      </c>
      <c r="L1525" t="b">
        <v>0</v>
      </c>
      <c r="M1525" t="b">
        <v>0</v>
      </c>
      <c r="N1525" t="inlineStr">
        <is>
          <t>ref</t>
        </is>
      </c>
      <c r="O1525" t="n">
        <v>100</v>
      </c>
      <c r="P1525" t="n">
        <v>0.01445</v>
      </c>
      <c r="Q1525" t="n">
        <v>40</v>
      </c>
      <c r="R1525" t="n">
        <v>0.08935999999999999</v>
      </c>
      <c r="S1525">
        <f>IMAGE("https://mitra.stanford.edu/kundaje/oak/projects/neuro-variants/variant_position/credible/roussos_2024/variant_figures/roussos_2024.childhood.GLU/rs4530175_count_position.png",4,220,900)</f>
        <v/>
      </c>
      <c r="T1525">
        <f>IMAGE("https://mitra.stanford.edu/kundaje/oak/projects/neuro-variants/variant_position/credible/roussos_2024/variant_figures/roussos_2024.childhood.GLU/rs4530175_profile_position.png",4,220,900)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0.0527697984</v>
      </c>
      <c r="G1526" t="n">
        <v>0.1676236874203262</v>
      </c>
      <c r="H1526" t="n">
        <v>0.0154876583253777</v>
      </c>
      <c r="I1526" t="n">
        <v>0.2244940319393282</v>
      </c>
      <c r="J1526" t="n">
        <v>0.563042022520527</v>
      </c>
      <c r="K1526" t="n">
        <v>0.0318888982498089</v>
      </c>
      <c r="L1526" t="b">
        <v>0</v>
      </c>
      <c r="M1526" t="b">
        <v>0</v>
      </c>
      <c r="N1526" t="inlineStr">
        <is>
          <t>alt</t>
        </is>
      </c>
      <c r="O1526" t="n">
        <v>-100</v>
      </c>
      <c r="P1526" t="n">
        <v>0.00958</v>
      </c>
      <c r="Q1526" t="n">
        <v>60</v>
      </c>
      <c r="R1526" t="n">
        <v>0.0537</v>
      </c>
      <c r="S1526">
        <f>IMAGE("https://mitra.stanford.edu/kundaje/oak/projects/neuro-variants/variant_position/credible/roussos_2024/variant_figures/roussos_2024.childhood.GLU/rs7207749_count_position.png",4,220,900)</f>
        <v/>
      </c>
      <c r="T1526">
        <f>IMAGE("https://mitra.stanford.edu/kundaje/oak/projects/neuro-variants/variant_position/credible/roussos_2024/variant_figures/roussos_2024.childhood.GLU/rs7207749_profile_position.png",4,220,900)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0.0210342442</v>
      </c>
      <c r="G1527" t="n">
        <v>0.4334438805354518</v>
      </c>
      <c r="H1527" t="n">
        <v>0.0105023912407201</v>
      </c>
      <c r="I1527" t="n">
        <v>0.5972508945168808</v>
      </c>
      <c r="J1527" t="n">
        <v>0.5003976634695622</v>
      </c>
      <c r="K1527" t="n">
        <v>0.042185554760945</v>
      </c>
      <c r="L1527" t="b">
        <v>0</v>
      </c>
      <c r="M1527" t="b">
        <v>0</v>
      </c>
      <c r="N1527" t="inlineStr">
        <is>
          <t>alt</t>
        </is>
      </c>
      <c r="O1527" t="n">
        <v>35</v>
      </c>
      <c r="P1527" t="n">
        <v>0.003624</v>
      </c>
      <c r="Q1527" t="n">
        <v>-5</v>
      </c>
      <c r="R1527" t="n">
        <v>0.01465</v>
      </c>
      <c r="S1527">
        <f>IMAGE("https://mitra.stanford.edu/kundaje/oak/projects/neuro-variants/variant_position/credible/roussos_2024/variant_figures/roussos_2024.childhood.GLU/rs7222716_count_position.png",4,220,900)</f>
        <v/>
      </c>
      <c r="T1527">
        <f>IMAGE("https://mitra.stanford.edu/kundaje/oak/projects/neuro-variants/variant_position/credible/roussos_2024/variant_figures/roussos_2024.childhood.GLU/rs7222716_profile_position.png",4,220,900)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0.0708990838</v>
      </c>
      <c r="G1528" t="n">
        <v>0.09010372897888549</v>
      </c>
      <c r="H1528" t="n">
        <v>0.0142003339920407</v>
      </c>
      <c r="I1528" t="n">
        <v>0.2871051480799684</v>
      </c>
      <c r="J1528" t="n">
        <v>0.5030257451038973</v>
      </c>
      <c r="K1528" t="n">
        <v>0.0415506306383082</v>
      </c>
      <c r="L1528" t="b">
        <v>0</v>
      </c>
      <c r="M1528" t="b">
        <v>0</v>
      </c>
      <c r="N1528" t="inlineStr">
        <is>
          <t>alt</t>
        </is>
      </c>
      <c r="O1528" t="n">
        <v>0</v>
      </c>
      <c r="P1528" t="n">
        <v>0</v>
      </c>
      <c r="Q1528" t="n">
        <v>-40</v>
      </c>
      <c r="R1528" t="n">
        <v>0.0504</v>
      </c>
      <c r="S1528">
        <f>IMAGE("https://mitra.stanford.edu/kundaje/oak/projects/neuro-variants/variant_position/credible/roussos_2024/variant_figures/roussos_2024.childhood.GLU/rs7222728_count_position.png",4,220,900)</f>
        <v/>
      </c>
      <c r="T1528">
        <f>IMAGE("https://mitra.stanford.edu/kundaje/oak/projects/neuro-variants/variant_position/credible/roussos_2024/variant_figures/roussos_2024.childhood.GLU/rs7222728_profile_position.png",4,220,900)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-0.00707828234</v>
      </c>
      <c r="G1529" t="n">
        <v>0.7078939795144963</v>
      </c>
      <c r="H1529" t="n">
        <v>0.0118153170217551</v>
      </c>
      <c r="I1529" t="n">
        <v>0.4487147712414737</v>
      </c>
      <c r="J1529" t="n">
        <v>0.6626113921312083</v>
      </c>
      <c r="K1529" t="n">
        <v>0.0189495031113967</v>
      </c>
      <c r="L1529" t="b">
        <v>0</v>
      </c>
      <c r="M1529" t="b">
        <v>0</v>
      </c>
      <c r="N1529" t="inlineStr">
        <is>
          <t>ref</t>
        </is>
      </c>
      <c r="O1529" t="n">
        <v>-100</v>
      </c>
      <c r="P1529" t="n">
        <v>0.02817</v>
      </c>
      <c r="Q1529" t="n">
        <v>-100</v>
      </c>
      <c r="R1529" t="n">
        <v>0.3584</v>
      </c>
      <c r="S1529">
        <f>IMAGE("https://mitra.stanford.edu/kundaje/oak/projects/neuro-variants/variant_position/credible/roussos_2024/variant_figures/roussos_2024.childhood.GLU/rs7214308_count_position.png",4,220,900)</f>
        <v/>
      </c>
      <c r="T1529">
        <f>IMAGE("https://mitra.stanford.edu/kundaje/oak/projects/neuro-variants/variant_position/credible/roussos_2024/variant_figures/roussos_2024.childhood.GLU/rs7214308_profile_position.png",4,220,900)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-0.00045411342</v>
      </c>
      <c r="G1530" t="n">
        <v>0.7357424863257732</v>
      </c>
      <c r="H1530" t="n">
        <v>0.0096469996051625</v>
      </c>
      <c r="I1530" t="n">
        <v>0.696406919406394</v>
      </c>
      <c r="J1530" t="n">
        <v>0.6587089330050377</v>
      </c>
      <c r="K1530" t="n">
        <v>0.0193807657258261</v>
      </c>
      <c r="L1530" t="b">
        <v>0</v>
      </c>
      <c r="M1530" t="b">
        <v>0</v>
      </c>
      <c r="N1530" t="inlineStr">
        <is>
          <t>ref</t>
        </is>
      </c>
      <c r="O1530" t="n">
        <v>-100</v>
      </c>
      <c r="P1530" t="n">
        <v>0.02588</v>
      </c>
      <c r="Q1530" t="n">
        <v>-95</v>
      </c>
      <c r="R1530" t="n">
        <v>0.3486</v>
      </c>
      <c r="S1530">
        <f>IMAGE("https://mitra.stanford.edu/kundaje/oak/projects/neuro-variants/variant_position/credible/roussos_2024/variant_figures/roussos_2024.childhood.GLU/rs12939002_count_position.png",4,220,900)</f>
        <v/>
      </c>
      <c r="T1530">
        <f>IMAGE("https://mitra.stanford.edu/kundaje/oak/projects/neuro-variants/variant_position/credible/roussos_2024/variant_figures/roussos_2024.childhood.GLU/rs12939002_profile_position.png",4,220,900)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0.0135539676</v>
      </c>
      <c r="G1531" t="n">
        <v>0.5540164080638619</v>
      </c>
      <c r="H1531" t="n">
        <v>0.0119232563440635</v>
      </c>
      <c r="I1531" t="n">
        <v>0.4681166965701757</v>
      </c>
      <c r="J1531" t="n">
        <v>0.1165792699887705</v>
      </c>
      <c r="K1531" t="n">
        <v>0.2240750843495412</v>
      </c>
      <c r="L1531" t="b">
        <v>0</v>
      </c>
      <c r="M1531" t="b">
        <v>0</v>
      </c>
      <c r="N1531" t="inlineStr">
        <is>
          <t>alt</t>
        </is>
      </c>
      <c r="O1531" t="n">
        <v>10</v>
      </c>
      <c r="P1531" t="n">
        <v>0.01553</v>
      </c>
      <c r="Q1531" t="n">
        <v>-100</v>
      </c>
      <c r="R1531" t="n">
        <v>0.2089</v>
      </c>
      <c r="S1531">
        <f>IMAGE("https://mitra.stanford.edu/kundaje/oak/projects/neuro-variants/variant_position/credible/roussos_2024/variant_figures/roussos_2024.childhood.GLU/rs6503245_count_position.png",4,220,900)</f>
        <v/>
      </c>
      <c r="T1531">
        <f>IMAGE("https://mitra.stanford.edu/kundaje/oak/projects/neuro-variants/variant_position/credible/roussos_2024/variant_figures/roussos_2024.childhood.GLU/rs6503245_profile_position.png",4,220,900)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0.0704285752</v>
      </c>
      <c r="G1532" t="n">
        <v>0.0925244307342972</v>
      </c>
      <c r="H1532" t="n">
        <v>0.0114267583751072</v>
      </c>
      <c r="I1532" t="n">
        <v>0.5055085308269063</v>
      </c>
      <c r="J1532" t="n">
        <v>0.1941339487158354</v>
      </c>
      <c r="K1532" t="n">
        <v>0.1519622625603131</v>
      </c>
      <c r="L1532" t="b">
        <v>0</v>
      </c>
      <c r="M1532" t="b">
        <v>0</v>
      </c>
      <c r="N1532" t="inlineStr">
        <is>
          <t>alt</t>
        </is>
      </c>
      <c r="O1532" t="n">
        <v>60</v>
      </c>
      <c r="P1532" t="n">
        <v>0.00238</v>
      </c>
      <c r="Q1532" t="n">
        <v>95</v>
      </c>
      <c r="R1532" t="n">
        <v>0.0327</v>
      </c>
      <c r="S1532">
        <f>IMAGE("https://mitra.stanford.edu/kundaje/oak/projects/neuro-variants/variant_position/credible/roussos_2024/variant_figures/roussos_2024.childhood.GLU/rs8082647_count_position.png",4,220,900)</f>
        <v/>
      </c>
      <c r="T1532">
        <f>IMAGE("https://mitra.stanford.edu/kundaje/oak/projects/neuro-variants/variant_position/credible/roussos_2024/variant_figures/roussos_2024.childhood.GLU/rs8082647_profile_position.png",4,220,900)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-0.06209873911</v>
      </c>
      <c r="G1533" t="n">
        <v>0.1396079686672104</v>
      </c>
      <c r="H1533" t="n">
        <v>0.0187755134262183</v>
      </c>
      <c r="I1533" t="n">
        <v>0.1298267405660576</v>
      </c>
      <c r="J1533" t="n">
        <v>0.0156139573696518</v>
      </c>
      <c r="K1533" t="n">
        <v>0.5397672428046573</v>
      </c>
      <c r="L1533" t="b">
        <v>0</v>
      </c>
      <c r="M1533" t="b">
        <v>0</v>
      </c>
      <c r="N1533" t="inlineStr">
        <is>
          <t>ref</t>
        </is>
      </c>
      <c r="O1533" t="n">
        <v>-95</v>
      </c>
      <c r="P1533" t="n">
        <v>0.00571</v>
      </c>
      <c r="Q1533" t="n">
        <v>85</v>
      </c>
      <c r="R1533" t="n">
        <v>0.07214</v>
      </c>
      <c r="S1533">
        <f>IMAGE("https://mitra.stanford.edu/kundaje/oak/projects/neuro-variants/variant_position/credible/roussos_2024/variant_figures/roussos_2024.childhood.GLU/rs2760742_count_position.png",4,220,900)</f>
        <v/>
      </c>
      <c r="T1533">
        <f>IMAGE("https://mitra.stanford.edu/kundaje/oak/projects/neuro-variants/variant_position/credible/roussos_2024/variant_figures/roussos_2024.childhood.GLU/rs2760742_profile_position.png",4,220,900)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0.0406822032</v>
      </c>
      <c r="G1534" t="n">
        <v>0.2371361569856718</v>
      </c>
      <c r="H1534" t="n">
        <v>0.0112523343173595</v>
      </c>
      <c r="I1534" t="n">
        <v>0.5278279263678937</v>
      </c>
      <c r="J1534" t="n">
        <v>0.231276334902696</v>
      </c>
      <c r="K1534" t="n">
        <v>0.1313005433970998</v>
      </c>
      <c r="L1534" t="b">
        <v>0</v>
      </c>
      <c r="M1534" t="b">
        <v>0</v>
      </c>
      <c r="N1534" t="inlineStr">
        <is>
          <t>alt</t>
        </is>
      </c>
      <c r="O1534" t="n">
        <v>90</v>
      </c>
      <c r="P1534" t="n">
        <v>0.02344</v>
      </c>
      <c r="Q1534" t="n">
        <v>80</v>
      </c>
      <c r="R1534" t="n">
        <v>0.00537</v>
      </c>
      <c r="S1534">
        <f>IMAGE("https://mitra.stanford.edu/kundaje/oak/projects/neuro-variants/variant_position/credible/roussos_2024/variant_figures/roussos_2024.childhood.GLU/rs2760751_count_position.png",4,220,900)</f>
        <v/>
      </c>
      <c r="T1534">
        <f>IMAGE("https://mitra.stanford.edu/kundaje/oak/projects/neuro-variants/variant_position/credible/roussos_2024/variant_figures/roussos_2024.childhood.GLU/rs2760751_profile_position.png",4,220,900)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-0.1298530466</v>
      </c>
      <c r="G1535" t="n">
        <v>0.0273378259654147</v>
      </c>
      <c r="H1535" t="n">
        <v>0.0196789176563786</v>
      </c>
      <c r="I1535" t="n">
        <v>0.1077445338217203</v>
      </c>
      <c r="J1535" t="n">
        <v>0.127968310548384</v>
      </c>
      <c r="K1535" t="n">
        <v>0.2154732838413666</v>
      </c>
      <c r="L1535" t="b">
        <v>0</v>
      </c>
      <c r="M1535" t="b">
        <v>0</v>
      </c>
      <c r="N1535" t="inlineStr">
        <is>
          <t>ref</t>
        </is>
      </c>
      <c r="O1535" t="n">
        <v>100</v>
      </c>
      <c r="P1535" t="n">
        <v>0.1267</v>
      </c>
      <c r="Q1535" t="n">
        <v>80</v>
      </c>
      <c r="R1535" t="n">
        <v>0.0665</v>
      </c>
      <c r="S1535">
        <f>IMAGE("https://mitra.stanford.edu/kundaje/oak/projects/neuro-variants/variant_position/credible/roussos_2024/variant_figures/roussos_2024.childhood.GLU/rs8067895_count_position.png",4,220,900)</f>
        <v/>
      </c>
      <c r="T1535">
        <f>IMAGE("https://mitra.stanford.edu/kundaje/oak/projects/neuro-variants/variant_position/credible/roussos_2024/variant_figures/roussos_2024.childhood.GLU/rs8067895_profile_position.png",4,220,900)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-0.01156362982</v>
      </c>
      <c r="G1536" t="n">
        <v>0.5092893610944936</v>
      </c>
      <c r="H1536" t="n">
        <v>0.0082344055782509</v>
      </c>
      <c r="I1536" t="n">
        <v>0.8574242369864681</v>
      </c>
      <c r="J1536" t="n">
        <v>0.1974234291777843</v>
      </c>
      <c r="K1536" t="n">
        <v>0.1517687073590583</v>
      </c>
      <c r="L1536" t="b">
        <v>0</v>
      </c>
      <c r="M1536" t="b">
        <v>0</v>
      </c>
      <c r="N1536" t="inlineStr">
        <is>
          <t>ref</t>
        </is>
      </c>
      <c r="O1536" t="n">
        <v>-95</v>
      </c>
      <c r="P1536" t="n">
        <v>0.03</v>
      </c>
      <c r="Q1536" t="n">
        <v>-65</v>
      </c>
      <c r="R1536" t="n">
        <v>0.2886</v>
      </c>
      <c r="S1536">
        <f>IMAGE("https://mitra.stanford.edu/kundaje/oak/projects/neuro-variants/variant_position/credible/roussos_2024/variant_figures/roussos_2024.childhood.GLU/rs2760736_count_position.png",4,220,900)</f>
        <v/>
      </c>
      <c r="T1536">
        <f>IMAGE("https://mitra.stanford.edu/kundaje/oak/projects/neuro-variants/variant_position/credible/roussos_2024/variant_figures/roussos_2024.childhood.GLU/rs2760736_profile_position.png",4,220,900)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-0.00456034544</v>
      </c>
      <c r="G1537" t="n">
        <v>0.8074968026239661</v>
      </c>
      <c r="H1537" t="n">
        <v>0.0122302984887671</v>
      </c>
      <c r="I1537" t="n">
        <v>0.4348212998717454</v>
      </c>
      <c r="J1537" t="n">
        <v>0.0486426901006521</v>
      </c>
      <c r="K1537" t="n">
        <v>0.3509040323097997</v>
      </c>
      <c r="L1537" t="b">
        <v>0</v>
      </c>
      <c r="M1537" t="b">
        <v>0</v>
      </c>
      <c r="N1537" t="inlineStr">
        <is>
          <t>ref</t>
        </is>
      </c>
      <c r="O1537" t="n">
        <v>-100</v>
      </c>
      <c r="P1537" t="n">
        <v>0.0188</v>
      </c>
      <c r="Q1537" t="n">
        <v>-100</v>
      </c>
      <c r="R1537" t="n">
        <v>0.07166</v>
      </c>
      <c r="S1537">
        <f>IMAGE("https://mitra.stanford.edu/kundaje/oak/projects/neuro-variants/variant_position/credible/roussos_2024/variant_figures/roussos_2024.childhood.GLU/rs6503302_count_position.png",4,220,900)</f>
        <v/>
      </c>
      <c r="T1537">
        <f>IMAGE("https://mitra.stanford.edu/kundaje/oak/projects/neuro-variants/variant_position/credible/roussos_2024/variant_figures/roussos_2024.childhood.GLU/rs6503302_profile_position.png",4,220,900)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0.0131591275999999</v>
      </c>
      <c r="G1538" t="n">
        <v>0.5402411212878481</v>
      </c>
      <c r="H1538" t="n">
        <v>0.0117288042795453</v>
      </c>
      <c r="I1538" t="n">
        <v>0.4832863622372908</v>
      </c>
      <c r="J1538" t="n">
        <v>0.1528470025858427</v>
      </c>
      <c r="K1538" t="n">
        <v>0.1838159588747162</v>
      </c>
      <c r="L1538" t="b">
        <v>0</v>
      </c>
      <c r="M1538" t="b">
        <v>0</v>
      </c>
      <c r="N1538" t="inlineStr">
        <is>
          <t>alt</t>
        </is>
      </c>
      <c r="O1538" t="n">
        <v>-60</v>
      </c>
      <c r="P1538" t="n">
        <v>0.009544</v>
      </c>
      <c r="Q1538" t="n">
        <v>-20</v>
      </c>
      <c r="R1538" t="n">
        <v>0.006927</v>
      </c>
      <c r="S1538">
        <f>IMAGE("https://mitra.stanford.edu/kundaje/oak/projects/neuro-variants/variant_position/credible/roussos_2024/variant_figures/roussos_2024.childhood.GLU/rs9910413_count_position.png",4,220,900)</f>
        <v/>
      </c>
      <c r="T1538">
        <f>IMAGE("https://mitra.stanford.edu/kundaje/oak/projects/neuro-variants/variant_position/credible/roussos_2024/variant_figures/roussos_2024.childhood.GLU/rs9910413_profile_position.png",4,220,900)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-0.048297836</v>
      </c>
      <c r="G1539" t="n">
        <v>0.1904185287151424</v>
      </c>
      <c r="H1539" t="n">
        <v>0.0091802655185357</v>
      </c>
      <c r="I1539" t="n">
        <v>0.7405911627257173</v>
      </c>
      <c r="J1539" t="n">
        <v>0.4021047317832013</v>
      </c>
      <c r="K1539" t="n">
        <v>0.0639818385263449</v>
      </c>
      <c r="L1539" t="b">
        <v>0</v>
      </c>
      <c r="M1539" t="b">
        <v>0</v>
      </c>
      <c r="N1539" t="inlineStr">
        <is>
          <t>ref</t>
        </is>
      </c>
      <c r="O1539" t="n">
        <v>-50</v>
      </c>
      <c r="P1539" t="n">
        <v>0.01198</v>
      </c>
      <c r="Q1539" t="n">
        <v>95</v>
      </c>
      <c r="R1539" t="n">
        <v>0.0304</v>
      </c>
      <c r="S1539">
        <f>IMAGE("https://mitra.stanford.edu/kundaje/oak/projects/neuro-variants/variant_position/credible/roussos_2024/variant_figures/roussos_2024.childhood.GLU/rs7214741_count_position.png",4,220,900)</f>
        <v/>
      </c>
      <c r="T1539">
        <f>IMAGE("https://mitra.stanford.edu/kundaje/oak/projects/neuro-variants/variant_position/credible/roussos_2024/variant_figures/roussos_2024.childhood.GLU/rs7214741_profile_position.png",4,220,900)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0.0390130494</v>
      </c>
      <c r="G1540" t="n">
        <v>0.2519029307255441</v>
      </c>
      <c r="H1540" t="n">
        <v>0.0098490716321546</v>
      </c>
      <c r="I1540" t="n">
        <v>0.671491496137444</v>
      </c>
      <c r="J1540" t="n">
        <v>0.3919571017956668</v>
      </c>
      <c r="K1540" t="n">
        <v>0.0666917626167691</v>
      </c>
      <c r="L1540" t="b">
        <v>0</v>
      </c>
      <c r="M1540" t="b">
        <v>0</v>
      </c>
      <c r="N1540" t="inlineStr">
        <is>
          <t>alt</t>
        </is>
      </c>
      <c r="O1540" t="n">
        <v>-100</v>
      </c>
      <c r="P1540" t="n">
        <v>0.02026</v>
      </c>
      <c r="Q1540" t="n">
        <v>45</v>
      </c>
      <c r="R1540" t="n">
        <v>0.0155</v>
      </c>
      <c r="S1540">
        <f>IMAGE("https://mitra.stanford.edu/kundaje/oak/projects/neuro-variants/variant_position/credible/roussos_2024/variant_figures/roussos_2024.childhood.GLU/rs7223390_count_position.png",4,220,900)</f>
        <v/>
      </c>
      <c r="T1540">
        <f>IMAGE("https://mitra.stanford.edu/kundaje/oak/projects/neuro-variants/variant_position/credible/roussos_2024/variant_figures/roussos_2024.childhood.GLU/rs7223390_profile_position.png",4,220,900)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0.137600953</v>
      </c>
      <c r="G1541" t="n">
        <v>0.0210256751869539</v>
      </c>
      <c r="H1541" t="n">
        <v>0.0199047100185359</v>
      </c>
      <c r="I1541" t="n">
        <v>0.1042901093815074</v>
      </c>
      <c r="J1541" t="n">
        <v>0.4428796604407264</v>
      </c>
      <c r="K1541" t="n">
        <v>0.0540172013935701</v>
      </c>
      <c r="L1541" t="b">
        <v>0</v>
      </c>
      <c r="M1541" t="b">
        <v>0</v>
      </c>
      <c r="N1541" t="inlineStr">
        <is>
          <t>alt</t>
        </is>
      </c>
      <c r="O1541" t="n">
        <v>-100</v>
      </c>
      <c r="P1541" t="n">
        <v>0.01604</v>
      </c>
      <c r="Q1541" t="n">
        <v>-65</v>
      </c>
      <c r="R1541" t="n">
        <v>0.05396</v>
      </c>
      <c r="S1541">
        <f>IMAGE("https://mitra.stanford.edu/kundaje/oak/projects/neuro-variants/variant_position/credible/roussos_2024/variant_figures/roussos_2024.childhood.GLU/rs57130712_count_position.png",4,220,900)</f>
        <v/>
      </c>
      <c r="T1541">
        <f>IMAGE("https://mitra.stanford.edu/kundaje/oak/projects/neuro-variants/variant_position/credible/roussos_2024/variant_figures/roussos_2024.childhood.GLU/rs57130712_profile_position.png",4,220,900)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0.01909973048</v>
      </c>
      <c r="G1542" t="n">
        <v>0.4543346552006876</v>
      </c>
      <c r="H1542" t="n">
        <v>0.009620529575608499</v>
      </c>
      <c r="I1542" t="n">
        <v>0.6724090810848549</v>
      </c>
      <c r="J1542" t="n">
        <v>0.2762617573428662</v>
      </c>
      <c r="K1542" t="n">
        <v>0.1064695962545293</v>
      </c>
      <c r="L1542" t="b">
        <v>0</v>
      </c>
      <c r="M1542" t="b">
        <v>0</v>
      </c>
      <c r="N1542" t="inlineStr">
        <is>
          <t>alt</t>
        </is>
      </c>
      <c r="O1542" t="n">
        <v>-100</v>
      </c>
      <c r="P1542" t="n">
        <v>0.0242</v>
      </c>
      <c r="Q1542" t="n">
        <v>-100</v>
      </c>
      <c r="R1542" t="n">
        <v>0.0808</v>
      </c>
      <c r="S1542">
        <f>IMAGE("https://mitra.stanford.edu/kundaje/oak/projects/neuro-variants/variant_position/credible/roussos_2024/variant_figures/roussos_2024.childhood.GLU/rs2270478_count_position.png",4,220,900)</f>
        <v/>
      </c>
      <c r="T1542">
        <f>IMAGE("https://mitra.stanford.edu/kundaje/oak/projects/neuro-variants/variant_position/credible/roussos_2024/variant_figures/roussos_2024.childhood.GLU/rs2270478_profile_position.png",4,220,900)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-0.0110552669</v>
      </c>
      <c r="G1543" t="n">
        <v>0.4957819673195051</v>
      </c>
      <c r="H1543" t="n">
        <v>0.0131669168664813</v>
      </c>
      <c r="I1543" t="n">
        <v>0.3643739825173933</v>
      </c>
      <c r="J1543" t="n">
        <v>0.1215634561694499</v>
      </c>
      <c r="K1543" t="n">
        <v>0.2198667599719773</v>
      </c>
      <c r="L1543" t="b">
        <v>0</v>
      </c>
      <c r="M1543" t="b">
        <v>0</v>
      </c>
      <c r="N1543" t="inlineStr">
        <is>
          <t>ref</t>
        </is>
      </c>
      <c r="O1543" t="n">
        <v>65</v>
      </c>
      <c r="P1543" t="n">
        <v>0.0073</v>
      </c>
      <c r="Q1543" t="n">
        <v>-100</v>
      </c>
      <c r="R1543" t="n">
        <v>0.02054</v>
      </c>
      <c r="S1543">
        <f>IMAGE("https://mitra.stanford.edu/kundaje/oak/projects/neuro-variants/variant_position/credible/roussos_2024/variant_figures/roussos_2024.childhood.GLU/rs11867782_count_position.png",4,220,900)</f>
        <v/>
      </c>
      <c r="T1543">
        <f>IMAGE("https://mitra.stanford.edu/kundaje/oak/projects/neuro-variants/variant_position/credible/roussos_2024/variant_figures/roussos_2024.childhood.GLU/rs11867782_profile_position.png",4,220,900)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0.0273762877399999</v>
      </c>
      <c r="G1544" t="n">
        <v>0.3719546444663707</v>
      </c>
      <c r="H1544" t="n">
        <v>0.0138239616105286</v>
      </c>
      <c r="I1544" t="n">
        <v>0.3274809167635393</v>
      </c>
      <c r="J1544" t="n">
        <v>0.6872304696755849</v>
      </c>
      <c r="K1544" t="n">
        <v>0.0163239777772283</v>
      </c>
      <c r="L1544" t="b">
        <v>0</v>
      </c>
      <c r="M1544" t="b">
        <v>0</v>
      </c>
      <c r="N1544" t="inlineStr">
        <is>
          <t>alt</t>
        </is>
      </c>
      <c r="O1544" t="n">
        <v>90</v>
      </c>
      <c r="P1544" t="n">
        <v>0.003647</v>
      </c>
      <c r="Q1544" t="n">
        <v>30</v>
      </c>
      <c r="R1544" t="n">
        <v>0.03735</v>
      </c>
      <c r="S1544">
        <f>IMAGE("https://mitra.stanford.edu/kundaje/oak/projects/neuro-variants/variant_position/credible/roussos_2024/variant_figures/roussos_2024.childhood.GLU/rs2126202_count_position.png",4,220,900)</f>
        <v/>
      </c>
      <c r="T1544">
        <f>IMAGE("https://mitra.stanford.edu/kundaje/oak/projects/neuro-variants/variant_position/credible/roussos_2024/variant_figures/roussos_2024.childhood.GLU/rs2126202_profile_position.png",4,220,900)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0.0858909451999999</v>
      </c>
      <c r="G1545" t="n">
        <v>0.0682376295061027</v>
      </c>
      <c r="H1545" t="n">
        <v>0.0166492889363385</v>
      </c>
      <c r="I1545" t="n">
        <v>0.1842500038688266</v>
      </c>
      <c r="J1545" t="n">
        <v>0.0463494287450935</v>
      </c>
      <c r="K1545" t="n">
        <v>0.3631598701554565</v>
      </c>
      <c r="L1545" t="b">
        <v>0</v>
      </c>
      <c r="M1545" t="b">
        <v>0</v>
      </c>
      <c r="N1545" t="inlineStr">
        <is>
          <t>alt</t>
        </is>
      </c>
      <c r="O1545" t="n">
        <v>70</v>
      </c>
      <c r="P1545" t="n">
        <v>0.00399</v>
      </c>
      <c r="Q1545" t="n">
        <v>20</v>
      </c>
      <c r="R1545" t="n">
        <v>0.02686</v>
      </c>
      <c r="S1545">
        <f>IMAGE("https://mitra.stanford.edu/kundaje/oak/projects/neuro-variants/variant_position/credible/roussos_2024/variant_figures/roussos_2024.childhood.GLU/rs143499_count_position.png",4,220,900)</f>
        <v/>
      </c>
      <c r="T1545">
        <f>IMAGE("https://mitra.stanford.edu/kundaje/oak/projects/neuro-variants/variant_position/credible/roussos_2024/variant_figures/roussos_2024.childhood.GLU/rs143499_profile_position.png",4,220,900)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0.00104052552</v>
      </c>
      <c r="G1546" t="n">
        <v>0.8192455407195479</v>
      </c>
      <c r="H1546" t="n">
        <v>0.007925808782806699</v>
      </c>
      <c r="I1546" t="n">
        <v>0.8783408987699788</v>
      </c>
      <c r="J1546" t="n">
        <v>0.2913307303202941</v>
      </c>
      <c r="K1546" t="n">
        <v>0.1015364650019708</v>
      </c>
      <c r="L1546" t="b">
        <v>0</v>
      </c>
      <c r="M1546" t="b">
        <v>0</v>
      </c>
      <c r="N1546" t="inlineStr">
        <is>
          <t>alt</t>
        </is>
      </c>
      <c r="O1546" t="n">
        <v>-10</v>
      </c>
      <c r="P1546" t="n">
        <v>0.000925</v>
      </c>
      <c r="Q1546" t="n">
        <v>-90</v>
      </c>
      <c r="R1546" t="n">
        <v>0.07904</v>
      </c>
      <c r="S1546">
        <f>IMAGE("https://mitra.stanford.edu/kundaje/oak/projects/neuro-variants/variant_position/credible/roussos_2024/variant_figures/roussos_2024.childhood.GLU/rs7212249_count_position.png",4,220,900)</f>
        <v/>
      </c>
      <c r="T1546">
        <f>IMAGE("https://mitra.stanford.edu/kundaje/oak/projects/neuro-variants/variant_position/credible/roussos_2024/variant_figures/roussos_2024.childhood.GLU/rs7212249_profile_position.png",4,220,900)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0.008949771973999999</v>
      </c>
      <c r="G1547" t="n">
        <v>0.6812528598715959</v>
      </c>
      <c r="H1547" t="n">
        <v>0.0229292490222061</v>
      </c>
      <c r="I1547" t="n">
        <v>0.0613193937802901</v>
      </c>
      <c r="J1547" t="n">
        <v>0.022651364521413</v>
      </c>
      <c r="K1547" t="n">
        <v>0.4778812422046516</v>
      </c>
      <c r="L1547" t="b">
        <v>0</v>
      </c>
      <c r="M1547" t="b">
        <v>0</v>
      </c>
      <c r="N1547" t="inlineStr">
        <is>
          <t>alt</t>
        </is>
      </c>
      <c r="O1547" t="n">
        <v>25</v>
      </c>
      <c r="P1547" t="n">
        <v>0.001302</v>
      </c>
      <c r="Q1547" t="n">
        <v>-70</v>
      </c>
      <c r="R1547" t="n">
        <v>0.089</v>
      </c>
      <c r="S1547">
        <f>IMAGE("https://mitra.stanford.edu/kundaje/oak/projects/neuro-variants/variant_position/credible/roussos_2024/variant_figures/roussos_2024.childhood.GLU/rs2169356_count_position.png",4,220,900)</f>
        <v/>
      </c>
      <c r="T1547">
        <f>IMAGE("https://mitra.stanford.edu/kundaje/oak/projects/neuro-variants/variant_position/credible/roussos_2024/variant_figures/roussos_2024.childhood.GLU/rs2169356_profile_position.png",4,220,900)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0.08905333040000001</v>
      </c>
      <c r="G1548" t="n">
        <v>0.06696886623141179</v>
      </c>
      <c r="H1548" t="n">
        <v>0.0126618022150751</v>
      </c>
      <c r="I1548" t="n">
        <v>0.4030707736362364</v>
      </c>
      <c r="J1548" t="n">
        <v>0.2801188869543717</v>
      </c>
      <c r="K1548" t="n">
        <v>0.1049401740207289</v>
      </c>
      <c r="L1548" t="b">
        <v>0</v>
      </c>
      <c r="M1548" t="b">
        <v>0</v>
      </c>
      <c r="N1548" t="inlineStr">
        <is>
          <t>alt</t>
        </is>
      </c>
      <c r="O1548" t="n">
        <v>100</v>
      </c>
      <c r="P1548" t="n">
        <v>0.011154</v>
      </c>
      <c r="Q1548" t="n">
        <v>30</v>
      </c>
      <c r="R1548" t="n">
        <v>0.0515</v>
      </c>
      <c r="S1548">
        <f>IMAGE("https://mitra.stanford.edu/kundaje/oak/projects/neuro-variants/variant_position/credible/roussos_2024/variant_figures/roussos_2024.childhood.GLU/rs216218_count_position.png",4,220,900)</f>
        <v/>
      </c>
      <c r="T1548">
        <f>IMAGE("https://mitra.stanford.edu/kundaje/oak/projects/neuro-variants/variant_position/credible/roussos_2024/variant_figures/roussos_2024.childhood.GLU/rs216218_profile_position.png",4,220,900)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-0.188552118</v>
      </c>
      <c r="G1549" t="n">
        <v>0.0095518313121507</v>
      </c>
      <c r="H1549" t="n">
        <v>0.03350331842444</v>
      </c>
      <c r="I1549" t="n">
        <v>0.0156786066098696</v>
      </c>
      <c r="J1549" t="n">
        <v>0.1653218910649345</v>
      </c>
      <c r="K1549" t="n">
        <v>0.1728742655665396</v>
      </c>
      <c r="L1549" t="b">
        <v>1</v>
      </c>
      <c r="M1549" t="b">
        <v>1</v>
      </c>
      <c r="N1549" t="inlineStr">
        <is>
          <t>ref</t>
        </is>
      </c>
      <c r="O1549" t="n">
        <v>40</v>
      </c>
      <c r="P1549" t="n">
        <v>0.01294</v>
      </c>
      <c r="Q1549" t="n">
        <v>100</v>
      </c>
      <c r="R1549" t="n">
        <v>0.06696000000000001</v>
      </c>
      <c r="S1549">
        <f>IMAGE("https://mitra.stanford.edu/kundaje/oak/projects/neuro-variants/variant_position/credible/roussos_2024/variant_figures/roussos_2024.childhood.GLU/rs216224_count_position.png",4,220,900)</f>
        <v/>
      </c>
      <c r="T1549">
        <f>IMAGE("https://mitra.stanford.edu/kundaje/oak/projects/neuro-variants/variant_position/credible/roussos_2024/variant_figures/roussos_2024.childhood.GLU/rs216224_profile_position.png",4,220,900)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0.1477940098</v>
      </c>
      <c r="G1550" t="n">
        <v>0.0200570801141221</v>
      </c>
      <c r="H1550" t="n">
        <v>0.0215663849230076</v>
      </c>
      <c r="I1550" t="n">
        <v>0.07847919628147421</v>
      </c>
      <c r="J1550" t="n">
        <v>0.3957297536752964</v>
      </c>
      <c r="K1550" t="n">
        <v>0.0655444210954656</v>
      </c>
      <c r="L1550" t="b">
        <v>0</v>
      </c>
      <c r="M1550" t="b">
        <v>0</v>
      </c>
      <c r="N1550" t="inlineStr">
        <is>
          <t>alt</t>
        </is>
      </c>
      <c r="O1550" t="n">
        <v>25</v>
      </c>
      <c r="P1550" t="n">
        <v>0.00406</v>
      </c>
      <c r="Q1550" t="n">
        <v>25</v>
      </c>
      <c r="R1550" t="n">
        <v>0.0454</v>
      </c>
      <c r="S1550">
        <f>IMAGE("https://mitra.stanford.edu/kundaje/oak/projects/neuro-variants/variant_position/credible/roussos_2024/variant_figures/roussos_2024.childhood.GLU/rs12950555_count_position.png",4,220,900)</f>
        <v/>
      </c>
      <c r="T1550">
        <f>IMAGE("https://mitra.stanford.edu/kundaje/oak/projects/neuro-variants/variant_position/credible/roussos_2024/variant_figures/roussos_2024.childhood.GLU/rs12950555_profile_position.png",4,220,900)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0.0156913912</v>
      </c>
      <c r="G1551" t="n">
        <v>0.523683163063834</v>
      </c>
      <c r="H1551" t="n">
        <v>0.0325944283058694</v>
      </c>
      <c r="I1551" t="n">
        <v>0.0153742541698956</v>
      </c>
      <c r="J1551" t="n">
        <v>0.0366746680128158</v>
      </c>
      <c r="K1551" t="n">
        <v>0.397953164468951</v>
      </c>
      <c r="L1551" t="b">
        <v>1</v>
      </c>
      <c r="M1551" t="b">
        <v>0</v>
      </c>
      <c r="N1551" t="inlineStr">
        <is>
          <t>alt</t>
        </is>
      </c>
      <c r="O1551" t="n">
        <v>80</v>
      </c>
      <c r="P1551" t="n">
        <v>0.02505</v>
      </c>
      <c r="Q1551" t="n">
        <v>-75</v>
      </c>
      <c r="R1551" t="n">
        <v>0.0808</v>
      </c>
      <c r="S1551">
        <f>IMAGE("https://mitra.stanford.edu/kundaje/oak/projects/neuro-variants/variant_position/credible/roussos_2024/variant_figures/roussos_2024.childhood.GLU/rs9891227_count_position.png",4,220,900)</f>
        <v/>
      </c>
      <c r="T1551">
        <f>IMAGE("https://mitra.stanford.edu/kundaje/oak/projects/neuro-variants/variant_position/credible/roussos_2024/variant_figures/roussos_2024.childhood.GLU/rs9891227_profile_position.png",4,220,900)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-0.0256140886</v>
      </c>
      <c r="G1552" t="n">
        <v>0.4097400292915555</v>
      </c>
      <c r="H1552" t="n">
        <v>0.0106674123602897</v>
      </c>
      <c r="I1552" t="n">
        <v>0.5783893151950236</v>
      </c>
      <c r="J1552" t="n">
        <v>0.059389905941257</v>
      </c>
      <c r="K1552" t="n">
        <v>0.3257949380829813</v>
      </c>
      <c r="L1552" t="b">
        <v>0</v>
      </c>
      <c r="M1552" t="b">
        <v>0</v>
      </c>
      <c r="N1552" t="inlineStr">
        <is>
          <t>ref</t>
        </is>
      </c>
      <c r="O1552" t="n">
        <v>85</v>
      </c>
      <c r="P1552" t="n">
        <v>0.003063</v>
      </c>
      <c r="Q1552" t="n">
        <v>45</v>
      </c>
      <c r="R1552" t="n">
        <v>0.0848</v>
      </c>
      <c r="S1552">
        <f>IMAGE("https://mitra.stanford.edu/kundaje/oak/projects/neuro-variants/variant_position/credible/roussos_2024/variant_figures/roussos_2024.childhood.GLU/rs216176_count_position.png",4,220,900)</f>
        <v/>
      </c>
      <c r="T1552">
        <f>IMAGE("https://mitra.stanford.edu/kundaje/oak/projects/neuro-variants/variant_position/credible/roussos_2024/variant_figures/roussos_2024.childhood.GLU/rs216176_profile_position.png",4,220,900)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0.107073272</v>
      </c>
      <c r="G1553" t="n">
        <v>0.0426211497511002</v>
      </c>
      <c r="H1553" t="n">
        <v>0.0187971927968162</v>
      </c>
      <c r="I1553" t="n">
        <v>0.1335270131571938</v>
      </c>
      <c r="J1553" t="n">
        <v>0.127992005521959</v>
      </c>
      <c r="K1553" t="n">
        <v>0.2100481253573848</v>
      </c>
      <c r="L1553" t="b">
        <v>0</v>
      </c>
      <c r="M1553" t="b">
        <v>0</v>
      </c>
      <c r="N1553" t="inlineStr">
        <is>
          <t>alt</t>
        </is>
      </c>
      <c r="O1553" t="n">
        <v>100</v>
      </c>
      <c r="P1553" t="n">
        <v>0.0679</v>
      </c>
      <c r="Q1553" t="n">
        <v>-100</v>
      </c>
      <c r="R1553" t="n">
        <v>0.08699999999999999</v>
      </c>
      <c r="S1553">
        <f>IMAGE("https://mitra.stanford.edu/kundaje/oak/projects/neuro-variants/variant_position/credible/roussos_2024/variant_figures/roussos_2024.childhood.GLU/rs1122645_count_position.png",4,220,900)</f>
        <v/>
      </c>
      <c r="T1553">
        <f>IMAGE("https://mitra.stanford.edu/kundaje/oak/projects/neuro-variants/variant_position/credible/roussos_2024/variant_figures/roussos_2024.childhood.GLU/rs1122645_profile_position.png",4,220,900)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0.1065406598</v>
      </c>
      <c r="G1554" t="n">
        <v>0.0456133308765323</v>
      </c>
      <c r="H1554" t="n">
        <v>0.0189188535646075</v>
      </c>
      <c r="I1554" t="n">
        <v>0.1560715323776933</v>
      </c>
      <c r="J1554" t="n">
        <v>0.1087619891415207</v>
      </c>
      <c r="K1554" t="n">
        <v>0.2383186388555148</v>
      </c>
      <c r="L1554" t="b">
        <v>0</v>
      </c>
      <c r="M1554" t="b">
        <v>0</v>
      </c>
      <c r="N1554" t="inlineStr">
        <is>
          <t>alt</t>
        </is>
      </c>
      <c r="O1554" t="n">
        <v>-20</v>
      </c>
      <c r="P1554" t="n">
        <v>0.001453</v>
      </c>
      <c r="Q1554" t="n">
        <v>-80</v>
      </c>
      <c r="R1554" t="n">
        <v>0.08119999999999999</v>
      </c>
      <c r="S1554">
        <f>IMAGE("https://mitra.stanford.edu/kundaje/oak/projects/neuro-variants/variant_position/credible/roussos_2024/variant_figures/roussos_2024.childhood.GLU/rs11869805_count_position.png",4,220,900)</f>
        <v/>
      </c>
      <c r="T1554">
        <f>IMAGE("https://mitra.stanford.edu/kundaje/oak/projects/neuro-variants/variant_position/credible/roussos_2024/variant_figures/roussos_2024.childhood.GLU/rs11869805_profile_position.png",4,220,900)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0.0538065256</v>
      </c>
      <c r="G1555" t="n">
        <v>0.158895574222662</v>
      </c>
      <c r="H1555" t="n">
        <v>0.0110052353642179</v>
      </c>
      <c r="I1555" t="n">
        <v>0.549218309113125</v>
      </c>
      <c r="J1555" t="n">
        <v>0.1150102506516117</v>
      </c>
      <c r="K1555" t="n">
        <v>0.2245302061768092</v>
      </c>
      <c r="L1555" t="b">
        <v>0</v>
      </c>
      <c r="M1555" t="b">
        <v>0</v>
      </c>
      <c r="N1555" t="inlineStr">
        <is>
          <t>alt</t>
        </is>
      </c>
      <c r="O1555" t="n">
        <v>15</v>
      </c>
      <c r="P1555" t="n">
        <v>0.008606000000000001</v>
      </c>
      <c r="Q1555" t="n">
        <v>-35</v>
      </c>
      <c r="R1555" t="n">
        <v>0.01904</v>
      </c>
      <c r="S1555">
        <f>IMAGE("https://mitra.stanford.edu/kundaje/oak/projects/neuro-variants/variant_position/credible/roussos_2024/variant_figures/roussos_2024.childhood.GLU/rs6502155_count_position.png",4,220,900)</f>
        <v/>
      </c>
      <c r="T1555">
        <f>IMAGE("https://mitra.stanford.edu/kundaje/oak/projects/neuro-variants/variant_position/credible/roussos_2024/variant_figures/roussos_2024.childhood.GLU/rs6502155_profile_position.png",4,220,900)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0.0559045996</v>
      </c>
      <c r="G1556" t="n">
        <v>0.1114290010196026</v>
      </c>
      <c r="H1556" t="n">
        <v>0.0192064539334806</v>
      </c>
      <c r="I1556" t="n">
        <v>0.1153952181535376</v>
      </c>
      <c r="J1556" t="n">
        <v>0.3584565300256523</v>
      </c>
      <c r="K1556" t="n">
        <v>0.07676989000169129</v>
      </c>
      <c r="L1556" t="b">
        <v>0</v>
      </c>
      <c r="M1556" t="b">
        <v>0</v>
      </c>
      <c r="N1556" t="inlineStr">
        <is>
          <t>alt</t>
        </is>
      </c>
      <c r="O1556" t="n">
        <v>-100</v>
      </c>
      <c r="P1556" t="n">
        <v>0.01796</v>
      </c>
      <c r="Q1556" t="n">
        <v>-75</v>
      </c>
      <c r="R1556" t="n">
        <v>0.09370000000000001</v>
      </c>
      <c r="S1556">
        <f>IMAGE("https://mitra.stanford.edu/kundaje/oak/projects/neuro-variants/variant_position/credible/roussos_2024/variant_figures/roussos_2024.childhood.GLU/rs749240_count_position.png",4,220,900)</f>
        <v/>
      </c>
      <c r="T1556">
        <f>IMAGE("https://mitra.stanford.edu/kundaje/oak/projects/neuro-variants/variant_position/credible/roussos_2024/variant_figures/roussos_2024.childhood.GLU/rs749240_profile_position.png",4,220,900)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-0.020361376</v>
      </c>
      <c r="G1557" t="n">
        <v>0.4578402512150089</v>
      </c>
      <c r="H1557" t="n">
        <v>0.0159001697564527</v>
      </c>
      <c r="I1557" t="n">
        <v>0.2060275346309531</v>
      </c>
      <c r="J1557" t="n">
        <v>0.0610341310641103</v>
      </c>
      <c r="K1557" t="n">
        <v>0.3203189176609743</v>
      </c>
      <c r="L1557" t="b">
        <v>0</v>
      </c>
      <c r="M1557" t="b">
        <v>0</v>
      </c>
      <c r="N1557" t="inlineStr">
        <is>
          <t>ref</t>
        </is>
      </c>
      <c r="O1557" t="n">
        <v>-40</v>
      </c>
      <c r="P1557" t="n">
        <v>0.00461</v>
      </c>
      <c r="Q1557" t="n">
        <v>65</v>
      </c>
      <c r="R1557" t="n">
        <v>0.1077</v>
      </c>
      <c r="S1557">
        <f>IMAGE("https://mitra.stanford.edu/kundaje/oak/projects/neuro-variants/variant_position/credible/roussos_2024/variant_figures/roussos_2024.childhood.GLU/rs410378_count_position.png",4,220,900)</f>
        <v/>
      </c>
      <c r="T1557">
        <f>IMAGE("https://mitra.stanford.edu/kundaje/oak/projects/neuro-variants/variant_position/credible/roussos_2024/variant_figures/roussos_2024.childhood.GLU/rs410378_profile_position.png",4,220,900)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0.0195062094</v>
      </c>
      <c r="G1558" t="n">
        <v>0.4518334536404094</v>
      </c>
      <c r="H1558" t="n">
        <v>0.0102373446556256</v>
      </c>
      <c r="I1558" t="n">
        <v>0.6337983129723447</v>
      </c>
      <c r="J1558" t="n">
        <v>0.0764183502117094</v>
      </c>
      <c r="K1558" t="n">
        <v>0.2886191298201656</v>
      </c>
      <c r="L1558" t="b">
        <v>0</v>
      </c>
      <c r="M1558" t="b">
        <v>0</v>
      </c>
      <c r="N1558" t="inlineStr">
        <is>
          <t>alt</t>
        </is>
      </c>
      <c r="O1558" t="n">
        <v>-70</v>
      </c>
      <c r="P1558" t="n">
        <v>0.0106</v>
      </c>
      <c r="Q1558" t="n">
        <v>-75</v>
      </c>
      <c r="R1558" t="n">
        <v>0.2053</v>
      </c>
      <c r="S1558">
        <f>IMAGE("https://mitra.stanford.edu/kundaje/oak/projects/neuro-variants/variant_position/credible/roussos_2024/variant_figures/roussos_2024.childhood.GLU/rs216202_count_position.png",4,220,900)</f>
        <v/>
      </c>
      <c r="T1558">
        <f>IMAGE("https://mitra.stanford.edu/kundaje/oak/projects/neuro-variants/variant_position/credible/roussos_2024/variant_figures/roussos_2024.childhood.GLU/rs216202_profile_position.png",4,220,900)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-0.0221310411</v>
      </c>
      <c r="G1559" t="n">
        <v>0.4392109548811173</v>
      </c>
      <c r="H1559" t="n">
        <v>0.0144803136449462</v>
      </c>
      <c r="I1559" t="n">
        <v>0.2758426709967329</v>
      </c>
      <c r="J1559" t="n">
        <v>0.2342917778441694</v>
      </c>
      <c r="K1559" t="n">
        <v>0.12739523446522</v>
      </c>
      <c r="L1559" t="b">
        <v>0</v>
      </c>
      <c r="M1559" t="b">
        <v>0</v>
      </c>
      <c r="N1559" t="inlineStr">
        <is>
          <t>ref</t>
        </is>
      </c>
      <c r="O1559" t="n">
        <v>-100</v>
      </c>
      <c r="P1559" t="n">
        <v>0.0227</v>
      </c>
      <c r="Q1559" t="n">
        <v>-100</v>
      </c>
      <c r="R1559" t="n">
        <v>0.1633</v>
      </c>
      <c r="S1559">
        <f>IMAGE("https://mitra.stanford.edu/kundaje/oak/projects/neuro-variants/variant_position/credible/roussos_2024/variant_figures/roussos_2024.childhood.GLU/rs216201_count_position.png",4,220,900)</f>
        <v/>
      </c>
      <c r="T1559">
        <f>IMAGE("https://mitra.stanford.edu/kundaje/oak/projects/neuro-variants/variant_position/credible/roussos_2024/variant_figures/roussos_2024.childhood.GLU/rs216201_profile_position.png",4,220,900)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-0.0131212734</v>
      </c>
      <c r="G1560" t="n">
        <v>0.5924381017582604</v>
      </c>
      <c r="H1560" t="n">
        <v>0.0122251431742817</v>
      </c>
      <c r="I1560" t="n">
        <v>0.4342805671214173</v>
      </c>
      <c r="J1560" t="n">
        <v>0.0820567237063058</v>
      </c>
      <c r="K1560" t="n">
        <v>0.2867402316261406</v>
      </c>
      <c r="L1560" t="b">
        <v>0</v>
      </c>
      <c r="M1560" t="b">
        <v>0</v>
      </c>
      <c r="N1560" t="inlineStr">
        <is>
          <t>ref</t>
        </is>
      </c>
      <c r="O1560" t="n">
        <v>100</v>
      </c>
      <c r="P1560" t="n">
        <v>0.005096</v>
      </c>
      <c r="Q1560" t="n">
        <v>-100</v>
      </c>
      <c r="R1560" t="n">
        <v>0.02094</v>
      </c>
      <c r="S1560">
        <f>IMAGE("https://mitra.stanford.edu/kundaje/oak/projects/neuro-variants/variant_position/credible/roussos_2024/variant_figures/roussos_2024.childhood.GLU/rs394752_count_position.png",4,220,900)</f>
        <v/>
      </c>
      <c r="T1560">
        <f>IMAGE("https://mitra.stanford.edu/kundaje/oak/projects/neuro-variants/variant_position/credible/roussos_2024/variant_figures/roussos_2024.childhood.GLU/rs394752_profile_position.png",4,220,900)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0.0308561399999999</v>
      </c>
      <c r="G1561" t="n">
        <v>0.3230859142512949</v>
      </c>
      <c r="H1561" t="n">
        <v>0.0109062505558616</v>
      </c>
      <c r="I1561" t="n">
        <v>0.5616127932689117</v>
      </c>
      <c r="J1561" t="n">
        <v>0.4201664829447701</v>
      </c>
      <c r="K1561" t="n">
        <v>0.0593223153612225</v>
      </c>
      <c r="L1561" t="b">
        <v>0</v>
      </c>
      <c r="M1561" t="b">
        <v>0</v>
      </c>
      <c r="N1561" t="inlineStr">
        <is>
          <t>alt</t>
        </is>
      </c>
      <c r="O1561" t="n">
        <v>0</v>
      </c>
      <c r="P1561" t="n">
        <v>0</v>
      </c>
      <c r="Q1561" t="n">
        <v>100</v>
      </c>
      <c r="R1561" t="n">
        <v>0.04526</v>
      </c>
      <c r="S1561">
        <f>IMAGE("https://mitra.stanford.edu/kundaje/oak/projects/neuro-variants/variant_position/credible/roussos_2024/variant_figures/roussos_2024.childhood.GLU/rs216197_count_position.png",4,220,900)</f>
        <v/>
      </c>
      <c r="T1561">
        <f>IMAGE("https://mitra.stanford.edu/kundaje/oak/projects/neuro-variants/variant_position/credible/roussos_2024/variant_figures/roussos_2024.childhood.GLU/rs216197_profile_position.png",4,220,900)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0.0278634099999999</v>
      </c>
      <c r="G1562" t="n">
        <v>0.346505371665719</v>
      </c>
      <c r="H1562" t="n">
        <v>0.0098367520017017</v>
      </c>
      <c r="I1562" t="n">
        <v>0.6774385619636154</v>
      </c>
      <c r="J1562" t="n">
        <v>0.5965910144539339</v>
      </c>
      <c r="K1562" t="n">
        <v>0.0271992390241277</v>
      </c>
      <c r="L1562" t="b">
        <v>0</v>
      </c>
      <c r="M1562" t="b">
        <v>0</v>
      </c>
      <c r="N1562" t="inlineStr">
        <is>
          <t>alt</t>
        </is>
      </c>
      <c r="O1562" t="n">
        <v>10</v>
      </c>
      <c r="P1562" t="n">
        <v>0.001123</v>
      </c>
      <c r="Q1562" t="n">
        <v>-65</v>
      </c>
      <c r="R1562" t="n">
        <v>0.01306</v>
      </c>
      <c r="S1562">
        <f>IMAGE("https://mitra.stanford.edu/kundaje/oak/projects/neuro-variants/variant_position/credible/roussos_2024/variant_figures/roussos_2024.childhood.GLU/rs216196_count_position.png",4,220,900)</f>
        <v/>
      </c>
      <c r="T1562">
        <f>IMAGE("https://mitra.stanford.edu/kundaje/oak/projects/neuro-variants/variant_position/credible/roussos_2024/variant_figures/roussos_2024.childhood.GLU/rs216196_profile_position.png",4,220,900)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-0.0616311186</v>
      </c>
      <c r="G1563" t="n">
        <v>0.126407841538427</v>
      </c>
      <c r="H1563" t="n">
        <v>0.0173554167579293</v>
      </c>
      <c r="I1563" t="n">
        <v>0.1627675299167921</v>
      </c>
      <c r="J1563" t="n">
        <v>0.4504239339837431</v>
      </c>
      <c r="K1563" t="n">
        <v>0.0526040456735594</v>
      </c>
      <c r="L1563" t="b">
        <v>0</v>
      </c>
      <c r="M1563" t="b">
        <v>0</v>
      </c>
      <c r="N1563" t="inlineStr">
        <is>
          <t>ref</t>
        </is>
      </c>
      <c r="O1563" t="n">
        <v>-100</v>
      </c>
      <c r="P1563" t="n">
        <v>0.004356</v>
      </c>
      <c r="Q1563" t="n">
        <v>95</v>
      </c>
      <c r="R1563" t="n">
        <v>0.245</v>
      </c>
      <c r="S1563">
        <f>IMAGE("https://mitra.stanford.edu/kundaje/oak/projects/neuro-variants/variant_position/credible/roussos_2024/variant_figures/roussos_2024.childhood.GLU/rs2224770_count_position.png",4,220,900)</f>
        <v/>
      </c>
      <c r="T1563">
        <f>IMAGE("https://mitra.stanford.edu/kundaje/oak/projects/neuro-variants/variant_position/credible/roussos_2024/variant_figures/roussos_2024.childhood.GLU/rs2224770_profile_position.png",4,220,900)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0.08013127120000001</v>
      </c>
      <c r="G1564" t="n">
        <v>0.0730919173357792</v>
      </c>
      <c r="H1564" t="n">
        <v>0.0111688627850816</v>
      </c>
      <c r="I1564" t="n">
        <v>0.5237283152844135</v>
      </c>
      <c r="J1564" t="n">
        <v>0.072709571739108</v>
      </c>
      <c r="K1564" t="n">
        <v>0.3019806649041223</v>
      </c>
      <c r="L1564" t="b">
        <v>0</v>
      </c>
      <c r="M1564" t="b">
        <v>0</v>
      </c>
      <c r="N1564" t="inlineStr">
        <is>
          <t>alt</t>
        </is>
      </c>
      <c r="O1564" t="n">
        <v>20</v>
      </c>
      <c r="P1564" t="n">
        <v>0.001968</v>
      </c>
      <c r="Q1564" t="n">
        <v>-15</v>
      </c>
      <c r="R1564" t="n">
        <v>0.01855</v>
      </c>
      <c r="S1564">
        <f>IMAGE("https://mitra.stanford.edu/kundaje/oak/projects/neuro-variants/variant_position/credible/roussos_2024/variant_figures/roussos_2024.childhood.GLU/rs391300_count_position.png",4,220,900)</f>
        <v/>
      </c>
      <c r="T1564">
        <f>IMAGE("https://mitra.stanford.edu/kundaje/oak/projects/neuro-variants/variant_position/credible/roussos_2024/variant_figures/roussos_2024.childhood.GLU/rs391300_profile_position.png",4,220,900)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-0.2813709392</v>
      </c>
      <c r="G1565" t="n">
        <v>0.0036291622780097</v>
      </c>
      <c r="H1565" t="n">
        <v>0.0376379161667889</v>
      </c>
      <c r="I1565" t="n">
        <v>0.0110576678143584</v>
      </c>
      <c r="J1565" t="n">
        <v>0.2568802991747967</v>
      </c>
      <c r="K1565" t="n">
        <v>0.1175422524889992</v>
      </c>
      <c r="L1565" t="b">
        <v>1</v>
      </c>
      <c r="M1565" t="b">
        <v>1</v>
      </c>
      <c r="N1565" t="inlineStr">
        <is>
          <t>ref</t>
        </is>
      </c>
      <c r="O1565" t="n">
        <v>30</v>
      </c>
      <c r="P1565" t="n">
        <v>0.003357</v>
      </c>
      <c r="Q1565" t="n">
        <v>35</v>
      </c>
      <c r="R1565" t="n">
        <v>0.166</v>
      </c>
      <c r="S1565">
        <f>IMAGE("https://mitra.stanford.edu/kundaje/oak/projects/neuro-variants/variant_position/credible/roussos_2024/variant_figures/roussos_2024.childhood.GLU/rs28756069_count_position.png",4,220,900)</f>
        <v/>
      </c>
      <c r="T1565">
        <f>IMAGE("https://mitra.stanford.edu/kundaje/oak/projects/neuro-variants/variant_position/credible/roussos_2024/variant_figures/roussos_2024.childhood.GLU/rs28756069_profile_position.png",4,220,900)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-0.01435714174</v>
      </c>
      <c r="G1566" t="n">
        <v>0.5895795493494943</v>
      </c>
      <c r="H1566" t="n">
        <v>0.027965311343643</v>
      </c>
      <c r="I1566" t="n">
        <v>0.0280099310987748</v>
      </c>
      <c r="J1566" t="n">
        <v>0.0069230531488559</v>
      </c>
      <c r="K1566" t="n">
        <v>0.6353994828371134</v>
      </c>
      <c r="L1566" t="b">
        <v>0</v>
      </c>
      <c r="M1566" t="b">
        <v>0</v>
      </c>
      <c r="N1566" t="inlineStr">
        <is>
          <t>ref</t>
        </is>
      </c>
      <c r="O1566" t="n">
        <v>-10</v>
      </c>
      <c r="P1566" t="n">
        <v>0.0003915</v>
      </c>
      <c r="Q1566" t="n">
        <v>65</v>
      </c>
      <c r="R1566" t="n">
        <v>0.1299</v>
      </c>
      <c r="S1566">
        <f>IMAGE("https://mitra.stanford.edu/kundaje/oak/projects/neuro-variants/variant_position/credible/roussos_2024/variant_figures/roussos_2024.childhood.GLU/rs9913489_count_position.png",4,220,900)</f>
        <v/>
      </c>
      <c r="T1566">
        <f>IMAGE("https://mitra.stanford.edu/kundaje/oak/projects/neuro-variants/variant_position/credible/roussos_2024/variant_figures/roussos_2024.childhood.GLU/rs9913489_profile_position.png",4,220,900)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0.0569792214</v>
      </c>
      <c r="G1567" t="n">
        <v>0.1445740957404425</v>
      </c>
      <c r="H1567" t="n">
        <v>0.0125385841838143</v>
      </c>
      <c r="I1567" t="n">
        <v>0.4085825529121842</v>
      </c>
      <c r="J1567" t="n">
        <v>0.0042300678912503</v>
      </c>
      <c r="K1567" t="n">
        <v>0.6909293927861324</v>
      </c>
      <c r="L1567" t="b">
        <v>0</v>
      </c>
      <c r="M1567" t="b">
        <v>0</v>
      </c>
      <c r="N1567" t="inlineStr">
        <is>
          <t>alt</t>
        </is>
      </c>
      <c r="O1567" t="n">
        <v>-45</v>
      </c>
      <c r="P1567" t="n">
        <v>0.01257</v>
      </c>
      <c r="Q1567" t="n">
        <v>95</v>
      </c>
      <c r="R1567" t="n">
        <v>0.1212</v>
      </c>
      <c r="S1567">
        <f>IMAGE("https://mitra.stanford.edu/kundaje/oak/projects/neuro-variants/variant_position/credible/roussos_2024/variant_figures/roussos_2024.childhood.GLU/rs11868068_count_position.png",4,220,900)</f>
        <v/>
      </c>
      <c r="T1567">
        <f>IMAGE("https://mitra.stanford.edu/kundaje/oak/projects/neuro-variants/variant_position/credible/roussos_2024/variant_figures/roussos_2024.childhood.GLU/rs11868068_profile_position.png",4,220,900)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0.019164338</v>
      </c>
      <c r="G1568" t="n">
        <v>0.4683213127130793</v>
      </c>
      <c r="H1568" t="n">
        <v>0.0312998967346083</v>
      </c>
      <c r="I1568" t="n">
        <v>0.0177200059471121</v>
      </c>
      <c r="J1568" t="n">
        <v>0.095686484593116</v>
      </c>
      <c r="K1568" t="n">
        <v>0.2606309916675107</v>
      </c>
      <c r="L1568" t="b">
        <v>1</v>
      </c>
      <c r="M1568" t="b">
        <v>0</v>
      </c>
      <c r="N1568" t="inlineStr">
        <is>
          <t>alt</t>
        </is>
      </c>
      <c r="O1568" t="n">
        <v>40</v>
      </c>
      <c r="P1568" t="n">
        <v>0.009180000000000001</v>
      </c>
      <c r="Q1568" t="n">
        <v>75</v>
      </c>
      <c r="R1568" t="n">
        <v>0.2148</v>
      </c>
      <c r="S1568">
        <f>IMAGE("https://mitra.stanford.edu/kundaje/oak/projects/neuro-variants/variant_position/credible/roussos_2024/variant_figures/roussos_2024.childhood.GLU/rs1866175_count_position.png",4,220,900)</f>
        <v/>
      </c>
      <c r="T1568">
        <f>IMAGE("https://mitra.stanford.edu/kundaje/oak/projects/neuro-variants/variant_position/credible/roussos_2024/variant_figures/roussos_2024.childhood.GLU/rs1866175_profile_position.png",4,220,900)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-0.141673589</v>
      </c>
      <c r="G1569" t="n">
        <v>0.0210534727612855</v>
      </c>
      <c r="H1569" t="n">
        <v>0.0297575011589904</v>
      </c>
      <c r="I1569" t="n">
        <v>0.0238304605289845</v>
      </c>
      <c r="J1569" t="n">
        <v>0.0375297474939989</v>
      </c>
      <c r="K1569" t="n">
        <v>0.3939329697378854</v>
      </c>
      <c r="L1569" t="b">
        <v>0</v>
      </c>
      <c r="M1569" t="b">
        <v>0</v>
      </c>
      <c r="N1569" t="inlineStr">
        <is>
          <t>ref</t>
        </is>
      </c>
      <c r="O1569" t="n">
        <v>-95</v>
      </c>
      <c r="P1569" t="n">
        <v>0.03632</v>
      </c>
      <c r="Q1569" t="n">
        <v>-85</v>
      </c>
      <c r="R1569" t="n">
        <v>0.06042</v>
      </c>
      <c r="S1569">
        <f>IMAGE("https://mitra.stanford.edu/kundaje/oak/projects/neuro-variants/variant_position/credible/roussos_2024/variant_figures/roussos_2024.childhood.GLU/rs9303185_count_position.png",4,220,900)</f>
        <v/>
      </c>
      <c r="T1569">
        <f>IMAGE("https://mitra.stanford.edu/kundaje/oak/projects/neuro-variants/variant_position/credible/roussos_2024/variant_figures/roussos_2024.childhood.GLU/rs9303185_profile_position.png",4,220,900)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-0.0743509456</v>
      </c>
      <c r="G1570" t="n">
        <v>0.0854262317307453</v>
      </c>
      <c r="H1570" t="n">
        <v>0.010880992457782</v>
      </c>
      <c r="I1570" t="n">
        <v>0.562269870219556</v>
      </c>
      <c r="J1570" t="n">
        <v>0.0445970309167894</v>
      </c>
      <c r="K1570" t="n">
        <v>0.3679626965951252</v>
      </c>
      <c r="L1570" t="b">
        <v>0</v>
      </c>
      <c r="M1570" t="b">
        <v>0</v>
      </c>
      <c r="N1570" t="inlineStr">
        <is>
          <t>ref</t>
        </is>
      </c>
      <c r="O1570" t="n">
        <v>-100</v>
      </c>
      <c r="P1570" t="n">
        <v>0.00812</v>
      </c>
      <c r="Q1570" t="n">
        <v>-65</v>
      </c>
      <c r="R1570" t="n">
        <v>0.0925</v>
      </c>
      <c r="S1570">
        <f>IMAGE("https://mitra.stanford.edu/kundaje/oak/projects/neuro-variants/variant_position/credible/roussos_2024/variant_figures/roussos_2024.childhood.GLU/rs4456561_count_position.png",4,220,900)</f>
        <v/>
      </c>
      <c r="T1570">
        <f>IMAGE("https://mitra.stanford.edu/kundaje/oak/projects/neuro-variants/variant_position/credible/roussos_2024/variant_figures/roussos_2024.childhood.GLU/rs4456561_profile_position.png",4,220,900)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0.0375021438</v>
      </c>
      <c r="G1571" t="n">
        <v>0.2545261753156473</v>
      </c>
      <c r="H1571" t="n">
        <v>0.0114038722369472</v>
      </c>
      <c r="I1571" t="n">
        <v>0.5115229056371466</v>
      </c>
      <c r="J1571" t="n">
        <v>0.0658133042125541</v>
      </c>
      <c r="K1571" t="n">
        <v>0.3217526946174449</v>
      </c>
      <c r="L1571" t="b">
        <v>0</v>
      </c>
      <c r="M1571" t="b">
        <v>0</v>
      </c>
      <c r="N1571" t="inlineStr">
        <is>
          <t>alt</t>
        </is>
      </c>
      <c r="O1571" t="n">
        <v>-75</v>
      </c>
      <c r="P1571" t="n">
        <v>0.000103</v>
      </c>
      <c r="Q1571" t="n">
        <v>85</v>
      </c>
      <c r="R1571" t="n">
        <v>0.0803</v>
      </c>
      <c r="S1571">
        <f>IMAGE("https://mitra.stanford.edu/kundaje/oak/projects/neuro-variants/variant_position/credible/roussos_2024/variant_figures/roussos_2024.childhood.GLU/rs34499321_count_position.png",4,220,900)</f>
        <v/>
      </c>
      <c r="T1571">
        <f>IMAGE("https://mitra.stanford.edu/kundaje/oak/projects/neuro-variants/variant_position/credible/roussos_2024/variant_figures/roussos_2024.childhood.GLU/rs34499321_profile_position.png",4,220,900)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0.0504196666</v>
      </c>
      <c r="G1572" t="n">
        <v>0.1699371685201793</v>
      </c>
      <c r="H1572" t="n">
        <v>0.0122056487057675</v>
      </c>
      <c r="I1572" t="n">
        <v>0.4290284632432273</v>
      </c>
      <c r="J1572" t="n">
        <v>0.0773342124511934</v>
      </c>
      <c r="K1572" t="n">
        <v>0.290670702394385</v>
      </c>
      <c r="L1572" t="b">
        <v>0</v>
      </c>
      <c r="M1572" t="b">
        <v>0</v>
      </c>
      <c r="N1572" t="inlineStr">
        <is>
          <t>alt</t>
        </is>
      </c>
      <c r="O1572" t="n">
        <v>85</v>
      </c>
      <c r="P1572" t="n">
        <v>0.03812</v>
      </c>
      <c r="Q1572" t="n">
        <v>85</v>
      </c>
      <c r="R1572" t="n">
        <v>0.1101</v>
      </c>
      <c r="S1572">
        <f>IMAGE("https://mitra.stanford.edu/kundaje/oak/projects/neuro-variants/variant_position/credible/roussos_2024/variant_figures/roussos_2024.childhood.GLU/rs35513053_count_position.png",4,220,900)</f>
        <v/>
      </c>
      <c r="T1572">
        <f>IMAGE("https://mitra.stanford.edu/kundaje/oak/projects/neuro-variants/variant_position/credible/roussos_2024/variant_figures/roussos_2024.childhood.GLU/rs35513053_profile_position.png",4,220,900)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0.0239585514</v>
      </c>
      <c r="G1573" t="n">
        <v>0.3911486080167876</v>
      </c>
      <c r="H1573" t="n">
        <v>0.0174003405003448</v>
      </c>
      <c r="I1573" t="n">
        <v>0.1593311220516903</v>
      </c>
      <c r="J1573" t="n">
        <v>0.9599627061720256</v>
      </c>
      <c r="K1573" t="n">
        <v>0.0002363162808572</v>
      </c>
      <c r="L1573" t="b">
        <v>0</v>
      </c>
      <c r="M1573" t="b">
        <v>0</v>
      </c>
      <c r="N1573" t="inlineStr">
        <is>
          <t>alt</t>
        </is>
      </c>
      <c r="O1573" t="n">
        <v>-65</v>
      </c>
      <c r="P1573" t="n">
        <v>0.0038</v>
      </c>
      <c r="Q1573" t="n">
        <v>-100</v>
      </c>
      <c r="R1573" t="n">
        <v>0.02412</v>
      </c>
      <c r="S1573">
        <f>IMAGE("https://mitra.stanford.edu/kundaje/oak/projects/neuro-variants/variant_position/credible/roussos_2024/variant_figures/roussos_2024.childhood.GLU/rs76655185_count_position.png",4,220,900)</f>
        <v/>
      </c>
      <c r="T1573">
        <f>IMAGE("https://mitra.stanford.edu/kundaje/oak/projects/neuro-variants/variant_position/credible/roussos_2024/variant_figures/roussos_2024.childhood.GLU/rs76655185_profile_position.png",4,220,900)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0.0413123806</v>
      </c>
      <c r="G1574" t="n">
        <v>0.2441690219707832</v>
      </c>
      <c r="H1574" t="n">
        <v>0.0128235055038232</v>
      </c>
      <c r="I1574" t="n">
        <v>0.3851212459375489</v>
      </c>
      <c r="J1574" t="n">
        <v>0.1316966631295908</v>
      </c>
      <c r="K1574" t="n">
        <v>0.2057812167167931</v>
      </c>
      <c r="L1574" t="b">
        <v>0</v>
      </c>
      <c r="M1574" t="b">
        <v>0</v>
      </c>
      <c r="N1574" t="inlineStr">
        <is>
          <t>alt</t>
        </is>
      </c>
      <c r="O1574" t="n">
        <v>65</v>
      </c>
      <c r="P1574" t="n">
        <v>0.0515</v>
      </c>
      <c r="Q1574" t="n">
        <v>65</v>
      </c>
      <c r="R1574" t="n">
        <v>0.0668</v>
      </c>
      <c r="S1574">
        <f>IMAGE("https://mitra.stanford.edu/kundaje/oak/projects/neuro-variants/variant_position/credible/roussos_2024/variant_figures/roussos_2024.childhood.GLU/rs9891529_count_position.png",4,220,900)</f>
        <v/>
      </c>
      <c r="T1574">
        <f>IMAGE("https://mitra.stanford.edu/kundaje/oak/projects/neuro-variants/variant_position/credible/roussos_2024/variant_figures/roussos_2024.childhood.GLU/rs9891529_profile_position.png",4,220,900)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-0.0625339036</v>
      </c>
      <c r="G1575" t="n">
        <v>0.1258376829251293</v>
      </c>
      <c r="H1575" t="n">
        <v>0.0124018410532482</v>
      </c>
      <c r="I1575" t="n">
        <v>0.4195035001031021</v>
      </c>
      <c r="J1575" t="n">
        <v>0.0139769437604952</v>
      </c>
      <c r="K1575" t="n">
        <v>0.5371486684510673</v>
      </c>
      <c r="L1575" t="b">
        <v>0</v>
      </c>
      <c r="M1575" t="b">
        <v>0</v>
      </c>
      <c r="N1575" t="inlineStr">
        <is>
          <t>ref</t>
        </is>
      </c>
      <c r="O1575" t="n">
        <v>-80</v>
      </c>
      <c r="P1575" t="n">
        <v>0.0709</v>
      </c>
      <c r="Q1575" t="n">
        <v>-15</v>
      </c>
      <c r="R1575" t="n">
        <v>0.01245</v>
      </c>
      <c r="S1575">
        <f>IMAGE("https://mitra.stanford.edu/kundaje/oak/projects/neuro-variants/variant_position/credible/roussos_2024/variant_figures/roussos_2024.childhood.GLU/rs16954519_count_position.png",4,220,900)</f>
        <v/>
      </c>
      <c r="T1575">
        <f>IMAGE("https://mitra.stanford.edu/kundaje/oak/projects/neuro-variants/variant_position/credible/roussos_2024/variant_figures/roussos_2024.childhood.GLU/rs16954519_profile_position.png",4,220,900)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-0.0626624714</v>
      </c>
      <c r="G1576" t="n">
        <v>0.1200943622636709</v>
      </c>
      <c r="H1576" t="n">
        <v>0.0103690973359888</v>
      </c>
      <c r="I1576" t="n">
        <v>0.6100712220453339</v>
      </c>
      <c r="J1576" t="n">
        <v>0.1309394541914347</v>
      </c>
      <c r="K1576" t="n">
        <v>0.2160456416581579</v>
      </c>
      <c r="L1576" t="b">
        <v>0</v>
      </c>
      <c r="M1576" t="b">
        <v>0</v>
      </c>
      <c r="N1576" t="inlineStr">
        <is>
          <t>ref</t>
        </is>
      </c>
      <c r="O1576" t="n">
        <v>100</v>
      </c>
      <c r="P1576" t="n">
        <v>0.09174</v>
      </c>
      <c r="Q1576" t="n">
        <v>100</v>
      </c>
      <c r="R1576" t="n">
        <v>0.1371</v>
      </c>
      <c r="S1576">
        <f>IMAGE("https://mitra.stanford.edu/kundaje/oak/projects/neuro-variants/variant_position/credible/roussos_2024/variant_figures/roussos_2024.childhood.GLU/rs10445248_count_position.png",4,220,900)</f>
        <v/>
      </c>
      <c r="T1576">
        <f>IMAGE("https://mitra.stanford.edu/kundaje/oak/projects/neuro-variants/variant_position/credible/roussos_2024/variant_figures/roussos_2024.childhood.GLU/rs10445248_profile_position.png",4,220,900)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-0.0212419092</v>
      </c>
      <c r="G1577" t="n">
        <v>0.2394446945641053</v>
      </c>
      <c r="H1577" t="n">
        <v>0.0147028858751287</v>
      </c>
      <c r="I1577" t="n">
        <v>0.2753509637664566</v>
      </c>
      <c r="J1577" t="n">
        <v>0.1407924423336458</v>
      </c>
      <c r="K1577" t="n">
        <v>0.197306149178864</v>
      </c>
      <c r="L1577" t="b">
        <v>0</v>
      </c>
      <c r="M1577" t="b">
        <v>0</v>
      </c>
      <c r="N1577" t="inlineStr">
        <is>
          <t>ref</t>
        </is>
      </c>
      <c r="O1577" t="n">
        <v>100</v>
      </c>
      <c r="P1577" t="n">
        <v>0.01776</v>
      </c>
      <c r="Q1577" t="n">
        <v>-95</v>
      </c>
      <c r="R1577" t="n">
        <v>0.1653</v>
      </c>
      <c r="S1577">
        <f>IMAGE("https://mitra.stanford.edu/kundaje/oak/projects/neuro-variants/variant_position/credible/roussos_2024/variant_figures/roussos_2024.childhood.GLU/rs9646399_count_position.png",4,220,900)</f>
        <v/>
      </c>
      <c r="T1577">
        <f>IMAGE("https://mitra.stanford.edu/kundaje/oak/projects/neuro-variants/variant_position/credible/roussos_2024/variant_figures/roussos_2024.childhood.GLU/rs9646399_profile_position.png",4,220,900)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0.1152937431999999</v>
      </c>
      <c r="G1578" t="n">
        <v>0.0322582487867944</v>
      </c>
      <c r="H1578" t="n">
        <v>0.0145639845627414</v>
      </c>
      <c r="I1578" t="n">
        <v>0.2714177225319197</v>
      </c>
      <c r="J1578" t="n">
        <v>0.9863970247354918</v>
      </c>
      <c r="K1578" t="n">
        <v>1.303790800635295e-05</v>
      </c>
      <c r="L1578" t="b">
        <v>0</v>
      </c>
      <c r="M1578" t="b">
        <v>0</v>
      </c>
      <c r="N1578" t="inlineStr">
        <is>
          <t>alt</t>
        </is>
      </c>
      <c r="O1578" t="n">
        <v>-10</v>
      </c>
      <c r="P1578" t="n">
        <v>0.003662</v>
      </c>
      <c r="Q1578" t="n">
        <v>25</v>
      </c>
      <c r="R1578" t="n">
        <v>0.08203000000000001</v>
      </c>
      <c r="S1578">
        <f>IMAGE("https://mitra.stanford.edu/kundaje/oak/projects/neuro-variants/variant_position/credible/roussos_2024/variant_figures/roussos_2024.childhood.GLU/rs2051975_count_position.png",4,220,900)</f>
        <v/>
      </c>
      <c r="T1578">
        <f>IMAGE("https://mitra.stanford.edu/kundaje/oak/projects/neuro-variants/variant_position/credible/roussos_2024/variant_figures/roussos_2024.childhood.GLU/rs2051975_profile_position.png",4,220,900)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0.0785370264</v>
      </c>
      <c r="G1579" t="n">
        <v>0.1066616721747236</v>
      </c>
      <c r="H1579" t="n">
        <v>0.0193512781265688</v>
      </c>
      <c r="I1579" t="n">
        <v>0.1323967851913634</v>
      </c>
      <c r="J1579" t="n">
        <v>0.2894856130301749</v>
      </c>
      <c r="K1579" t="n">
        <v>0.1011005190861888</v>
      </c>
      <c r="L1579" t="b">
        <v>0</v>
      </c>
      <c r="M1579" t="b">
        <v>0</v>
      </c>
      <c r="N1579" t="inlineStr">
        <is>
          <t>alt</t>
        </is>
      </c>
      <c r="O1579" t="n">
        <v>70</v>
      </c>
      <c r="P1579" t="n">
        <v>0.01306</v>
      </c>
      <c r="Q1579" t="n">
        <v>25</v>
      </c>
      <c r="R1579" t="n">
        <v>0.01135</v>
      </c>
      <c r="S1579">
        <f>IMAGE("https://mitra.stanford.edu/kundaje/oak/projects/neuro-variants/variant_position/credible/roussos_2024/variant_figures/roussos_2024.childhood.GLU/rs1889018_count_position.png",4,220,900)</f>
        <v/>
      </c>
      <c r="T1579">
        <f>IMAGE("https://mitra.stanford.edu/kundaje/oak/projects/neuro-variants/variant_position/credible/roussos_2024/variant_figures/roussos_2024.childhood.GLU/rs1889018_profile_position.png",4,220,900)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0.0217294380599999</v>
      </c>
      <c r="G1580" t="n">
        <v>0.4373727039427048</v>
      </c>
      <c r="H1580" t="n">
        <v>0.0493564052152568</v>
      </c>
      <c r="I1580" t="n">
        <v>0.0028603443608874</v>
      </c>
      <c r="J1580" t="n">
        <v>0.2562796831054837</v>
      </c>
      <c r="K1580" t="n">
        <v>0.1175594692073842</v>
      </c>
      <c r="L1580" t="b">
        <v>1</v>
      </c>
      <c r="M1580" t="b">
        <v>1</v>
      </c>
      <c r="N1580" t="inlineStr">
        <is>
          <t>alt</t>
        </is>
      </c>
      <c r="O1580" t="n">
        <v>-95</v>
      </c>
      <c r="P1580" t="n">
        <v>0.00842</v>
      </c>
      <c r="Q1580" t="n">
        <v>70</v>
      </c>
      <c r="R1580" t="n">
        <v>0.1562</v>
      </c>
      <c r="S1580">
        <f>IMAGE("https://mitra.stanford.edu/kundaje/oak/projects/neuro-variants/variant_position/credible/roussos_2024/variant_figures/roussos_2024.childhood.GLU/rs56886154_count_position.png",4,220,900)</f>
        <v/>
      </c>
      <c r="T1580">
        <f>IMAGE("https://mitra.stanford.edu/kundaje/oak/projects/neuro-variants/variant_position/credible/roussos_2024/variant_figures/roussos_2024.childhood.GLU/rs56886154_profile_position.png",4,220,900)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-0.01347972422</v>
      </c>
      <c r="G1581" t="n">
        <v>0.5975173922496202</v>
      </c>
      <c r="H1581" t="n">
        <v>0.0343436101763697</v>
      </c>
      <c r="I1581" t="n">
        <v>0.0125850732323133</v>
      </c>
      <c r="J1581" t="n">
        <v>0.2990089319748215</v>
      </c>
      <c r="K1581" t="n">
        <v>0.0982730041724232</v>
      </c>
      <c r="L1581" t="b">
        <v>1</v>
      </c>
      <c r="M1581" t="b">
        <v>0</v>
      </c>
      <c r="N1581" t="inlineStr">
        <is>
          <t>ref</t>
        </is>
      </c>
      <c r="O1581" t="n">
        <v>100</v>
      </c>
      <c r="P1581" t="n">
        <v>0.01736</v>
      </c>
      <c r="Q1581" t="n">
        <v>-50</v>
      </c>
      <c r="R1581" t="n">
        <v>0.105</v>
      </c>
      <c r="S1581">
        <f>IMAGE("https://mitra.stanford.edu/kundaje/oak/projects/neuro-variants/variant_position/credible/roussos_2024/variant_figures/roussos_2024.childhood.GLU/rs4273100_count_position.png",4,220,900)</f>
        <v/>
      </c>
      <c r="T1581">
        <f>IMAGE("https://mitra.stanford.edu/kundaje/oak/projects/neuro-variants/variant_position/credible/roussos_2024/variant_figures/roussos_2024.childhood.GLU/rs4273100_profile_position.png",4,220,900)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0.042281557</v>
      </c>
      <c r="G1582" t="n">
        <v>0.224700688966858</v>
      </c>
      <c r="H1582" t="n">
        <v>0.0185609436309443</v>
      </c>
      <c r="I1582" t="n">
        <v>0.1443608345603756</v>
      </c>
      <c r="J1582" t="n">
        <v>0.212621179185511</v>
      </c>
      <c r="K1582" t="n">
        <v>0.1395749709396777</v>
      </c>
      <c r="L1582" t="b">
        <v>0</v>
      </c>
      <c r="M1582" t="b">
        <v>0</v>
      </c>
      <c r="N1582" t="inlineStr">
        <is>
          <t>alt</t>
        </is>
      </c>
      <c r="O1582" t="n">
        <v>70</v>
      </c>
      <c r="P1582" t="n">
        <v>0.01697</v>
      </c>
      <c r="Q1582" t="n">
        <v>100</v>
      </c>
      <c r="R1582" t="n">
        <v>0.0985</v>
      </c>
      <c r="S1582">
        <f>IMAGE("https://mitra.stanford.edu/kundaje/oak/projects/neuro-variants/variant_position/credible/roussos_2024/variant_figures/roussos_2024.childhood.GLU/rs28760541_count_position.png",4,220,900)</f>
        <v/>
      </c>
      <c r="T1582">
        <f>IMAGE("https://mitra.stanford.edu/kundaje/oak/projects/neuro-variants/variant_position/credible/roussos_2024/variant_figures/roussos_2024.childhood.GLU/rs28760541_profile_position.png",4,220,900)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0.0167508992</v>
      </c>
      <c r="G1583" t="n">
        <v>0.492206175995928</v>
      </c>
      <c r="H1583" t="n">
        <v>0.0153392031597138</v>
      </c>
      <c r="I1583" t="n">
        <v>0.2338670240729371</v>
      </c>
      <c r="J1583" t="n">
        <v>0.1872850711364315</v>
      </c>
      <c r="K1583" t="n">
        <v>0.1565452272237108</v>
      </c>
      <c r="L1583" t="b">
        <v>0</v>
      </c>
      <c r="M1583" t="b">
        <v>0</v>
      </c>
      <c r="N1583" t="inlineStr">
        <is>
          <t>alt</t>
        </is>
      </c>
      <c r="O1583" t="n">
        <v>75</v>
      </c>
      <c r="P1583" t="n">
        <v>0.002745</v>
      </c>
      <c r="Q1583" t="n">
        <v>-20</v>
      </c>
      <c r="R1583" t="n">
        <v>0.037</v>
      </c>
      <c r="S1583">
        <f>IMAGE("https://mitra.stanford.edu/kundaje/oak/projects/neuro-variants/variant_position/credible/roussos_2024/variant_figures/roussos_2024.childhood.GLU/rs16960499_count_position.png",4,220,900)</f>
        <v/>
      </c>
      <c r="T1583">
        <f>IMAGE("https://mitra.stanford.edu/kundaje/oak/projects/neuro-variants/variant_position/credible/roussos_2024/variant_figures/roussos_2024.childhood.GLU/rs16960499_profile_position.png",4,220,900)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-0.0433490231999999</v>
      </c>
      <c r="G1584" t="n">
        <v>0.2235598031075956</v>
      </c>
      <c r="H1584" t="n">
        <v>0.009989629639712399</v>
      </c>
      <c r="I1584" t="n">
        <v>0.6586124768317752</v>
      </c>
      <c r="J1584" t="n">
        <v>0.410760608651756</v>
      </c>
      <c r="K1584" t="n">
        <v>0.0609020022654194</v>
      </c>
      <c r="L1584" t="b">
        <v>0</v>
      </c>
      <c r="M1584" t="b">
        <v>0</v>
      </c>
      <c r="N1584" t="inlineStr">
        <is>
          <t>ref</t>
        </is>
      </c>
      <c r="O1584" t="n">
        <v>100</v>
      </c>
      <c r="P1584" t="n">
        <v>0.00734</v>
      </c>
      <c r="Q1584" t="n">
        <v>100</v>
      </c>
      <c r="R1584" t="n">
        <v>0.2803</v>
      </c>
      <c r="S1584">
        <f>IMAGE("https://mitra.stanford.edu/kundaje/oak/projects/neuro-variants/variant_position/credible/roussos_2024/variant_figures/roussos_2024.childhood.GLU/rs2048230_count_position.png",4,220,900)</f>
        <v/>
      </c>
      <c r="T1584">
        <f>IMAGE("https://mitra.stanford.edu/kundaje/oak/projects/neuro-variants/variant_position/credible/roussos_2024/variant_figures/roussos_2024.childhood.GLU/rs2048230_profile_position.png",4,220,900)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-0.00483839601</v>
      </c>
      <c r="G1585" t="n">
        <v>0.7046426700001783</v>
      </c>
      <c r="H1585" t="n">
        <v>0.0118563395516063</v>
      </c>
      <c r="I1585" t="n">
        <v>0.4687345379235923</v>
      </c>
      <c r="J1585" t="n">
        <v>0.3848805464266949</v>
      </c>
      <c r="K1585" t="n">
        <v>0.06876044360047021</v>
      </c>
      <c r="L1585" t="b">
        <v>0</v>
      </c>
      <c r="M1585" t="b">
        <v>0</v>
      </c>
      <c r="N1585" t="inlineStr">
        <is>
          <t>ref</t>
        </is>
      </c>
      <c r="O1585" t="n">
        <v>-65</v>
      </c>
      <c r="P1585" t="n">
        <v>0.002502</v>
      </c>
      <c r="Q1585" t="n">
        <v>-75</v>
      </c>
      <c r="R1585" t="n">
        <v>0.0584</v>
      </c>
      <c r="S1585">
        <f>IMAGE("https://mitra.stanford.edu/kundaje/oak/projects/neuro-variants/variant_position/credible/roussos_2024/variant_figures/roussos_2024.childhood.GLU/rs2428582_count_position.png",4,220,900)</f>
        <v/>
      </c>
      <c r="T1585">
        <f>IMAGE("https://mitra.stanford.edu/kundaje/oak/projects/neuro-variants/variant_position/credible/roussos_2024/variant_figures/roussos_2024.childhood.GLU/rs2428582_profile_position.png",4,220,900)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0.1767195472</v>
      </c>
      <c r="G1586" t="n">
        <v>0.0114113803014255</v>
      </c>
      <c r="H1586" t="n">
        <v>0.0506704122928347</v>
      </c>
      <c r="I1586" t="n">
        <v>0.0026966117749833</v>
      </c>
      <c r="J1586" t="n">
        <v>0.040920189147702</v>
      </c>
      <c r="K1586" t="n">
        <v>0.3866415279865864</v>
      </c>
      <c r="L1586" t="b">
        <v>1</v>
      </c>
      <c r="M1586" t="b">
        <v>0</v>
      </c>
      <c r="N1586" t="inlineStr">
        <is>
          <t>alt</t>
        </is>
      </c>
      <c r="O1586" t="n">
        <v>75</v>
      </c>
      <c r="P1586" t="n">
        <v>0.01105</v>
      </c>
      <c r="Q1586" t="n">
        <v>-70</v>
      </c>
      <c r="R1586" t="n">
        <v>0.04346</v>
      </c>
      <c r="S1586">
        <f>IMAGE("https://mitra.stanford.edu/kundaje/oak/projects/neuro-variants/variant_position/credible/roussos_2024/variant_figures/roussos_2024.childhood.GLU/rs9915039_count_position.png",4,220,900)</f>
        <v/>
      </c>
      <c r="T1586">
        <f>IMAGE("https://mitra.stanford.edu/kundaje/oak/projects/neuro-variants/variant_position/credible/roussos_2024/variant_figures/roussos_2024.childhood.GLU/rs9915039_profile_position.png",4,220,900)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0.088981424</v>
      </c>
      <c r="G1587" t="n">
        <v>0.0568877000977192</v>
      </c>
      <c r="H1587" t="n">
        <v>0.0232128663936703</v>
      </c>
      <c r="I1587" t="n">
        <v>0.0579328477694195</v>
      </c>
      <c r="J1587" t="n">
        <v>0.6026682600677882</v>
      </c>
      <c r="K1587" t="n">
        <v>0.0253325889933482</v>
      </c>
      <c r="L1587" t="b">
        <v>0</v>
      </c>
      <c r="M1587" t="b">
        <v>0</v>
      </c>
      <c r="N1587" t="inlineStr">
        <is>
          <t>alt</t>
        </is>
      </c>
      <c r="O1587" t="n">
        <v>-70</v>
      </c>
      <c r="P1587" t="n">
        <v>0.002441</v>
      </c>
      <c r="Q1587" t="n">
        <v>-95</v>
      </c>
      <c r="R1587" t="n">
        <v>0.1509</v>
      </c>
      <c r="S1587">
        <f>IMAGE("https://mitra.stanford.edu/kundaje/oak/projects/neuro-variants/variant_position/credible/roussos_2024/variant_figures/roussos_2024.childhood.GLU/rs28767032_count_position.png",4,220,900)</f>
        <v/>
      </c>
      <c r="T1587">
        <f>IMAGE("https://mitra.stanford.edu/kundaje/oak/projects/neuro-variants/variant_position/credible/roussos_2024/variant_figures/roussos_2024.childhood.GLU/rs28767032_profile_position.png",4,220,900)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-0.093650492</v>
      </c>
      <c r="G1588" t="n">
        <v>0.055090554440642</v>
      </c>
      <c r="H1588" t="n">
        <v>0.0189070229290659</v>
      </c>
      <c r="I1588" t="n">
        <v>0.1273907854753135</v>
      </c>
      <c r="J1588" t="n">
        <v>0.0681168677305366</v>
      </c>
      <c r="K1588" t="n">
        <v>0.3060631158695213</v>
      </c>
      <c r="L1588" t="b">
        <v>0</v>
      </c>
      <c r="M1588" t="b">
        <v>0</v>
      </c>
      <c r="N1588" t="inlineStr">
        <is>
          <t>ref</t>
        </is>
      </c>
      <c r="O1588" t="n">
        <v>-35</v>
      </c>
      <c r="P1588" t="n">
        <v>0.0009155</v>
      </c>
      <c r="Q1588" t="n">
        <v>-75</v>
      </c>
      <c r="R1588" t="n">
        <v>0.08203000000000001</v>
      </c>
      <c r="S1588">
        <f>IMAGE("https://mitra.stanford.edu/kundaje/oak/projects/neuro-variants/variant_position/credible/roussos_2024/variant_figures/roussos_2024.childhood.GLU/rs8082671_count_position.png",4,220,900)</f>
        <v/>
      </c>
      <c r="T1588">
        <f>IMAGE("https://mitra.stanford.edu/kundaje/oak/projects/neuro-variants/variant_position/credible/roussos_2024/variant_figures/roussos_2024.childhood.GLU/rs8082671_profile_position.png",4,220,900)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0.003057258822</v>
      </c>
      <c r="G1589" t="n">
        <v>0.7756987870860929</v>
      </c>
      <c r="H1589" t="n">
        <v>0.0188283391690429</v>
      </c>
      <c r="I1589" t="n">
        <v>0.1195857732144924</v>
      </c>
      <c r="J1589" t="n">
        <v>0.08136647882390501</v>
      </c>
      <c r="K1589" t="n">
        <v>0.2781147232092885</v>
      </c>
      <c r="L1589" t="b">
        <v>0</v>
      </c>
      <c r="M1589" t="b">
        <v>0</v>
      </c>
      <c r="N1589" t="inlineStr">
        <is>
          <t>alt</t>
        </is>
      </c>
      <c r="O1589" t="n">
        <v>80</v>
      </c>
      <c r="P1589" t="n">
        <v>0.03433</v>
      </c>
      <c r="Q1589" t="n">
        <v>-5</v>
      </c>
      <c r="R1589" t="n">
        <v>0.005585</v>
      </c>
      <c r="S1589">
        <f>IMAGE("https://mitra.stanford.edu/kundaje/oak/projects/neuro-variants/variant_position/credible/roussos_2024/variant_figures/roussos_2024.childhood.GLU/rs8065337_count_position.png",4,220,900)</f>
        <v/>
      </c>
      <c r="T1589">
        <f>IMAGE("https://mitra.stanford.edu/kundaje/oak/projects/neuro-variants/variant_position/credible/roussos_2024/variant_figures/roussos_2024.childhood.GLU/rs8065337_profile_position.png",4,220,900)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-0.318551084</v>
      </c>
      <c r="G1590" t="n">
        <v>0.0017278305773808</v>
      </c>
      <c r="H1590" t="n">
        <v>0.047500503479846</v>
      </c>
      <c r="I1590" t="n">
        <v>0.0038242564663894</v>
      </c>
      <c r="J1590" t="n">
        <v>0.1221558305088238</v>
      </c>
      <c r="K1590" t="n">
        <v>0.2187844885845955</v>
      </c>
      <c r="L1590" t="b">
        <v>1</v>
      </c>
      <c r="M1590" t="b">
        <v>1</v>
      </c>
      <c r="N1590" t="inlineStr">
        <is>
          <t>ref</t>
        </is>
      </c>
      <c r="O1590" t="n">
        <v>-95</v>
      </c>
      <c r="P1590" t="n">
        <v>0.01012</v>
      </c>
      <c r="Q1590" t="n">
        <v>15</v>
      </c>
      <c r="R1590" t="n">
        <v>0.02405</v>
      </c>
      <c r="S1590">
        <f>IMAGE("https://mitra.stanford.edu/kundaje/oak/projects/neuro-variants/variant_position/credible/roussos_2024/variant_figures/roussos_2024.childhood.GLU/rs28807825_count_position.png",4,220,900)</f>
        <v/>
      </c>
      <c r="T1590">
        <f>IMAGE("https://mitra.stanford.edu/kundaje/oak/projects/neuro-variants/variant_position/credible/roussos_2024/variant_figures/roussos_2024.childhood.GLU/rs28807825_profile_position.png",4,220,900)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0.153414312</v>
      </c>
      <c r="G1591" t="n">
        <v>0.0157564024153903</v>
      </c>
      <c r="H1591" t="n">
        <v>0.0216801511065145</v>
      </c>
      <c r="I1591" t="n">
        <v>0.07556346053223199</v>
      </c>
      <c r="J1591" t="n">
        <v>0.1070868575313958</v>
      </c>
      <c r="K1591" t="n">
        <v>0.2387576311281917</v>
      </c>
      <c r="L1591" t="b">
        <v>1</v>
      </c>
      <c r="M1591" t="b">
        <v>0</v>
      </c>
      <c r="N1591" t="inlineStr">
        <is>
          <t>alt</t>
        </is>
      </c>
      <c r="O1591" t="n">
        <v>60</v>
      </c>
      <c r="P1591" t="n">
        <v>0.004944</v>
      </c>
      <c r="Q1591" t="n">
        <v>60</v>
      </c>
      <c r="R1591" t="n">
        <v>0.03784</v>
      </c>
      <c r="S1591">
        <f>IMAGE("https://mitra.stanford.edu/kundaje/oak/projects/neuro-variants/variant_position/credible/roussos_2024/variant_figures/roussos_2024.childhood.GLU/rs9914328_count_position.png",4,220,900)</f>
        <v/>
      </c>
      <c r="T1591">
        <f>IMAGE("https://mitra.stanford.edu/kundaje/oak/projects/neuro-variants/variant_position/credible/roussos_2024/variant_figures/roussos_2024.childhood.GLU/rs9914328_profile_position.png",4,220,900)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0.114093708</v>
      </c>
      <c r="G1592" t="n">
        <v>0.0374395012224016</v>
      </c>
      <c r="H1592" t="n">
        <v>0.0411585852873973</v>
      </c>
      <c r="I1592" t="n">
        <v>0.0075726108822964</v>
      </c>
      <c r="J1592" t="n">
        <v>0.1235795893558057</v>
      </c>
      <c r="K1592" t="n">
        <v>0.2210332062565538</v>
      </c>
      <c r="L1592" t="b">
        <v>1</v>
      </c>
      <c r="M1592" t="b">
        <v>1</v>
      </c>
      <c r="N1592" t="inlineStr">
        <is>
          <t>alt</t>
        </is>
      </c>
      <c r="O1592" t="n">
        <v>-100</v>
      </c>
      <c r="P1592" t="n">
        <v>0.003412</v>
      </c>
      <c r="Q1592" t="n">
        <v>-100</v>
      </c>
      <c r="R1592" t="n">
        <v>0.1434</v>
      </c>
      <c r="S1592">
        <f>IMAGE("https://mitra.stanford.edu/kundaje/oak/projects/neuro-variants/variant_position/credible/roussos_2024/variant_figures/roussos_2024.childhood.GLU/rs7221669_count_position.png",4,220,900)</f>
        <v/>
      </c>
      <c r="T1592">
        <f>IMAGE("https://mitra.stanford.edu/kundaje/oak/projects/neuro-variants/variant_position/credible/roussos_2024/variant_figures/roussos_2024.childhood.GLU/rs7221669_profile_position.png",4,220,900)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0.0667440628</v>
      </c>
      <c r="G1593" t="n">
        <v>0.1021598377865324</v>
      </c>
      <c r="H1593" t="n">
        <v>0.0116873012988427</v>
      </c>
      <c r="I1593" t="n">
        <v>0.4784227568234155</v>
      </c>
      <c r="J1593" t="n">
        <v>0.1002977324940504</v>
      </c>
      <c r="K1593" t="n">
        <v>0.2474059671345468</v>
      </c>
      <c r="L1593" t="b">
        <v>0</v>
      </c>
      <c r="M1593" t="b">
        <v>0</v>
      </c>
      <c r="N1593" t="inlineStr">
        <is>
          <t>alt</t>
        </is>
      </c>
      <c r="O1593" t="n">
        <v>-90</v>
      </c>
      <c r="P1593" t="n">
        <v>0.010025</v>
      </c>
      <c r="Q1593" t="n">
        <v>90</v>
      </c>
      <c r="R1593" t="n">
        <v>0.1355</v>
      </c>
      <c r="S1593">
        <f>IMAGE("https://mitra.stanford.edu/kundaje/oak/projects/neuro-variants/variant_position/credible/roussos_2024/variant_figures/roussos_2024.childhood.GLU/rs3909257_count_position.png",4,220,900)</f>
        <v/>
      </c>
      <c r="T1593">
        <f>IMAGE("https://mitra.stanford.edu/kundaje/oak/projects/neuro-variants/variant_position/credible/roussos_2024/variant_figures/roussos_2024.childhood.GLU/rs3909257_profile_position.png",4,220,900)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0.1200306548</v>
      </c>
      <c r="G1594" t="n">
        <v>0.0552449122307515</v>
      </c>
      <c r="H1594" t="n">
        <v>0.0354974929514214</v>
      </c>
      <c r="I1594" t="n">
        <v>0.0144079435684825</v>
      </c>
      <c r="J1594" t="n">
        <v>0.0643576086620581</v>
      </c>
      <c r="K1594" t="n">
        <v>0.3110363889449351</v>
      </c>
      <c r="L1594" t="b">
        <v>1</v>
      </c>
      <c r="M1594" t="b">
        <v>0</v>
      </c>
      <c r="N1594" t="inlineStr">
        <is>
          <t>alt</t>
        </is>
      </c>
      <c r="O1594" t="n">
        <v>-100</v>
      </c>
      <c r="P1594" t="n">
        <v>0.008224</v>
      </c>
      <c r="Q1594" t="n">
        <v>-15</v>
      </c>
      <c r="R1594" t="n">
        <v>0.04138</v>
      </c>
      <c r="S1594">
        <f>IMAGE("https://mitra.stanford.edu/kundaje/oak/projects/neuro-variants/variant_position/credible/roussos_2024/variant_figures/roussos_2024.childhood.GLU/rs4925077_count_position.png",4,220,900)</f>
        <v/>
      </c>
      <c r="T1594">
        <f>IMAGE("https://mitra.stanford.edu/kundaje/oak/projects/neuro-variants/variant_position/credible/roussos_2024/variant_figures/roussos_2024.childhood.GLU/rs4925077_profile_position.png",4,220,900)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-0.212178964</v>
      </c>
      <c r="G1595" t="n">
        <v>0.0063802016822536</v>
      </c>
      <c r="H1595" t="n">
        <v>0.0278247855642425</v>
      </c>
      <c r="I1595" t="n">
        <v>0.0285945109739125</v>
      </c>
      <c r="J1595" t="n">
        <v>0.1549847012888005</v>
      </c>
      <c r="K1595" t="n">
        <v>0.1858716767343435</v>
      </c>
      <c r="L1595" t="b">
        <v>1</v>
      </c>
      <c r="M1595" t="b">
        <v>1</v>
      </c>
      <c r="N1595" t="inlineStr">
        <is>
          <t>ref</t>
        </is>
      </c>
      <c r="O1595" t="n">
        <v>-95</v>
      </c>
      <c r="P1595" t="n">
        <v>0.009094</v>
      </c>
      <c r="Q1595" t="n">
        <v>-85</v>
      </c>
      <c r="R1595" t="n">
        <v>0.1792</v>
      </c>
      <c r="S1595">
        <f>IMAGE("https://mitra.stanford.edu/kundaje/oak/projects/neuro-variants/variant_position/credible/roussos_2024/variant_figures/roussos_2024.childhood.GLU/rs35602968_count_position.png",4,220,900)</f>
        <v/>
      </c>
      <c r="T1595">
        <f>IMAGE("https://mitra.stanford.edu/kundaje/oak/projects/neuro-variants/variant_position/credible/roussos_2024/variant_figures/roussos_2024.childhood.GLU/rs35602968_profile_position.png",4,220,900)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0.01161525762</v>
      </c>
      <c r="G1596" t="n">
        <v>0.6041362192547177</v>
      </c>
      <c r="H1596" t="n">
        <v>0.0112668545551596</v>
      </c>
      <c r="I1596" t="n">
        <v>0.5248610818179277</v>
      </c>
      <c r="J1596" t="n">
        <v>0.1126860828087815</v>
      </c>
      <c r="K1596" t="n">
        <v>0.2346301981689297</v>
      </c>
      <c r="L1596" t="b">
        <v>0</v>
      </c>
      <c r="M1596" t="b">
        <v>0</v>
      </c>
      <c r="N1596" t="inlineStr">
        <is>
          <t>alt</t>
        </is>
      </c>
      <c r="O1596" t="n">
        <v>-70</v>
      </c>
      <c r="P1596" t="n">
        <v>0.01881</v>
      </c>
      <c r="Q1596" t="n">
        <v>85</v>
      </c>
      <c r="R1596" t="n">
        <v>0.0901</v>
      </c>
      <c r="S1596">
        <f>IMAGE("https://mitra.stanford.edu/kundaje/oak/projects/neuro-variants/variant_position/credible/roussos_2024/variant_figures/roussos_2024.childhood.GLU/rs7212500_count_position.png",4,220,900)</f>
        <v/>
      </c>
      <c r="T1596">
        <f>IMAGE("https://mitra.stanford.edu/kundaje/oak/projects/neuro-variants/variant_position/credible/roussos_2024/variant_figures/roussos_2024.childhood.GLU/rs7212500_profile_position.png",4,220,900)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-0.0066551794</v>
      </c>
      <c r="G1597" t="n">
        <v>0.4547430139363415</v>
      </c>
      <c r="H1597" t="n">
        <v>0.0095922645252034</v>
      </c>
      <c r="I1597" t="n">
        <v>0.665146884752705</v>
      </c>
      <c r="J1597" t="n">
        <v>0.049243306169965</v>
      </c>
      <c r="K1597" t="n">
        <v>0.3619553447455418</v>
      </c>
      <c r="L1597" t="b">
        <v>0</v>
      </c>
      <c r="M1597" t="b">
        <v>0</v>
      </c>
      <c r="N1597" t="inlineStr">
        <is>
          <t>ref</t>
        </is>
      </c>
      <c r="O1597" t="n">
        <v>-95</v>
      </c>
      <c r="P1597" t="n">
        <v>0.04077</v>
      </c>
      <c r="Q1597" t="n">
        <v>-70</v>
      </c>
      <c r="R1597" t="n">
        <v>0.1133</v>
      </c>
      <c r="S1597">
        <f>IMAGE("https://mitra.stanford.edu/kundaje/oak/projects/neuro-variants/variant_position/credible/roussos_2024/variant_figures/roussos_2024.childhood.GLU/rs2703777_count_position.png",4,220,900)</f>
        <v/>
      </c>
      <c r="T1597">
        <f>IMAGE("https://mitra.stanford.edu/kundaje/oak/projects/neuro-variants/variant_position/credible/roussos_2024/variant_figures/roussos_2024.childhood.GLU/rs2703777_profile_position.png",4,220,900)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-0.181552728</v>
      </c>
      <c r="G1598" t="n">
        <v>0.0110555388763831</v>
      </c>
      <c r="H1598" t="n">
        <v>0.0327758884322106</v>
      </c>
      <c r="I1598" t="n">
        <v>0.0172152184026826</v>
      </c>
      <c r="J1598" t="n">
        <v>0.2430115281197523</v>
      </c>
      <c r="K1598" t="n">
        <v>0.1225182487580748</v>
      </c>
      <c r="L1598" t="b">
        <v>1</v>
      </c>
      <c r="M1598" t="b">
        <v>0</v>
      </c>
      <c r="N1598" t="inlineStr">
        <is>
          <t>ref</t>
        </is>
      </c>
      <c r="O1598" t="n">
        <v>10</v>
      </c>
      <c r="P1598" t="n">
        <v>0.005554</v>
      </c>
      <c r="Q1598" t="n">
        <v>100</v>
      </c>
      <c r="R1598" t="n">
        <v>0.1799</v>
      </c>
      <c r="S1598">
        <f>IMAGE("https://mitra.stanford.edu/kundaje/oak/projects/neuro-variants/variant_position/credible/roussos_2024/variant_figures/roussos_2024.childhood.GLU/rs2158472_count_position.png",4,220,900)</f>
        <v/>
      </c>
      <c r="T1598">
        <f>IMAGE("https://mitra.stanford.edu/kundaje/oak/projects/neuro-variants/variant_position/credible/roussos_2024/variant_figures/roussos_2024.childhood.GLU/rs2158472_profile_position.png",4,220,900)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0.00458371964</v>
      </c>
      <c r="G1599" t="n">
        <v>0.7013254426816797</v>
      </c>
      <c r="H1599" t="n">
        <v>0.0252883662536508</v>
      </c>
      <c r="I1599" t="n">
        <v>0.0428344013001668</v>
      </c>
      <c r="J1599" t="n">
        <v>0.4110634922270185</v>
      </c>
      <c r="K1599" t="n">
        <v>0.0615856557097687</v>
      </c>
      <c r="L1599" t="b">
        <v>0</v>
      </c>
      <c r="M1599" t="b">
        <v>0</v>
      </c>
      <c r="N1599" t="inlineStr">
        <is>
          <t>alt</t>
        </is>
      </c>
      <c r="O1599" t="n">
        <v>-45</v>
      </c>
      <c r="P1599" t="n">
        <v>0.01285</v>
      </c>
      <c r="Q1599" t="n">
        <v>25</v>
      </c>
      <c r="R1599" t="n">
        <v>0.04858</v>
      </c>
      <c r="S1599">
        <f>IMAGE("https://mitra.stanford.edu/kundaje/oak/projects/neuro-variants/variant_position/credible/roussos_2024/variant_figures/roussos_2024.childhood.GLU/rs72625942_count_position.png",4,220,900)</f>
        <v/>
      </c>
      <c r="T1599">
        <f>IMAGE("https://mitra.stanford.edu/kundaje/oak/projects/neuro-variants/variant_position/credible/roussos_2024/variant_figures/roussos_2024.childhood.GLU/rs72625942_profile_position.png",4,220,900)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0.0972539588</v>
      </c>
      <c r="G1600" t="n">
        <v>0.0600238208391954</v>
      </c>
      <c r="H1600" t="n">
        <v>0.0371432548845664</v>
      </c>
      <c r="I1600" t="n">
        <v>0.0110747803741335</v>
      </c>
      <c r="J1600" t="n">
        <v>0.0148855944862826</v>
      </c>
      <c r="K1600" t="n">
        <v>0.5320969837508316</v>
      </c>
      <c r="L1600" t="b">
        <v>1</v>
      </c>
      <c r="M1600" t="b">
        <v>0</v>
      </c>
      <c r="N1600" t="inlineStr">
        <is>
          <t>alt</t>
        </is>
      </c>
      <c r="O1600" t="n">
        <v>80</v>
      </c>
      <c r="P1600" t="n">
        <v>0.0101</v>
      </c>
      <c r="Q1600" t="n">
        <v>50</v>
      </c>
      <c r="R1600" t="n">
        <v>0.07605000000000001</v>
      </c>
      <c r="S1600">
        <f>IMAGE("https://mitra.stanford.edu/kundaje/oak/projects/neuro-variants/variant_position/credible/roussos_2024/variant_figures/roussos_2024.childhood.GLU/rs117001874_count_position.png",4,220,900)</f>
        <v/>
      </c>
      <c r="T1600">
        <f>IMAGE("https://mitra.stanford.edu/kundaje/oak/projects/neuro-variants/variant_position/credible/roussos_2024/variant_figures/roussos_2024.childhood.GLU/rs117001874_profile_position.png",4,220,900)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0.0271058352</v>
      </c>
      <c r="G1601" t="n">
        <v>0.3493641605721578</v>
      </c>
      <c r="H1601" t="n">
        <v>0.0129253135891968</v>
      </c>
      <c r="I1601" t="n">
        <v>0.3736574240417538</v>
      </c>
      <c r="J1601" t="n">
        <v>0.3196946439057558</v>
      </c>
      <c r="K1601" t="n">
        <v>0.0907310986785473</v>
      </c>
      <c r="L1601" t="b">
        <v>0</v>
      </c>
      <c r="M1601" t="b">
        <v>0</v>
      </c>
      <c r="N1601" t="inlineStr">
        <is>
          <t>alt</t>
        </is>
      </c>
      <c r="O1601" t="n">
        <v>100</v>
      </c>
      <c r="P1601" t="n">
        <v>0.02258</v>
      </c>
      <c r="Q1601" t="n">
        <v>-45</v>
      </c>
      <c r="R1601" t="n">
        <v>0.03357</v>
      </c>
      <c r="S1601">
        <f>IMAGE("https://mitra.stanford.edu/kundaje/oak/projects/neuro-variants/variant_position/credible/roussos_2024/variant_figures/roussos_2024.childhood.GLU/rs72625945_count_position.png",4,220,900)</f>
        <v/>
      </c>
      <c r="T1601">
        <f>IMAGE("https://mitra.stanford.edu/kundaje/oak/projects/neuro-variants/variant_position/credible/roussos_2024/variant_figures/roussos_2024.childhood.GLU/rs72625945_profile_position.png",4,220,900)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-0.021914199</v>
      </c>
      <c r="G1602" t="n">
        <v>0.4374071461699239</v>
      </c>
      <c r="H1602" t="n">
        <v>0.0139015738359721</v>
      </c>
      <c r="I1602" t="n">
        <v>0.3082249153759855</v>
      </c>
      <c r="J1602" t="n">
        <v>0.6656670135061349</v>
      </c>
      <c r="K1602" t="n">
        <v>0.0184553293775042</v>
      </c>
      <c r="L1602" t="b">
        <v>0</v>
      </c>
      <c r="M1602" t="b">
        <v>0</v>
      </c>
      <c r="N1602" t="inlineStr">
        <is>
          <t>ref</t>
        </is>
      </c>
      <c r="O1602" t="n">
        <v>-100</v>
      </c>
      <c r="P1602" t="n">
        <v>0.005478</v>
      </c>
      <c r="Q1602" t="n">
        <v>-100</v>
      </c>
      <c r="R1602" t="n">
        <v>0.1824</v>
      </c>
      <c r="S1602">
        <f>IMAGE("https://mitra.stanford.edu/kundaje/oak/projects/neuro-variants/variant_position/credible/roussos_2024/variant_figures/roussos_2024.childhood.GLU/rs76297940_count_position.png",4,220,900)</f>
        <v/>
      </c>
      <c r="T1602">
        <f>IMAGE("https://mitra.stanford.edu/kundaje/oak/projects/neuro-variants/variant_position/credible/roussos_2024/variant_figures/roussos_2024.childhood.GLU/rs76297940_profile_position.png",4,220,900)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-0.02280165742</v>
      </c>
      <c r="G1603" t="n">
        <v>0.4608968777099516</v>
      </c>
      <c r="H1603" t="n">
        <v>0.0229970389607327</v>
      </c>
      <c r="I1603" t="n">
        <v>0.0596337522366566</v>
      </c>
      <c r="J1603" t="n">
        <v>0.0819732761906723</v>
      </c>
      <c r="K1603" t="n">
        <v>0.2761346534302789</v>
      </c>
      <c r="L1603" t="b">
        <v>0</v>
      </c>
      <c r="M1603" t="b">
        <v>0</v>
      </c>
      <c r="N1603" t="inlineStr">
        <is>
          <t>ref</t>
        </is>
      </c>
      <c r="O1603" t="n">
        <v>-25</v>
      </c>
      <c r="P1603" t="n">
        <v>0.0005493</v>
      </c>
      <c r="Q1603" t="n">
        <v>5</v>
      </c>
      <c r="R1603" t="n">
        <v>0.00818</v>
      </c>
      <c r="S1603">
        <f>IMAGE("https://mitra.stanford.edu/kundaje/oak/projects/neuro-variants/variant_position/credible/roussos_2024/variant_figures/roussos_2024.childhood.GLU/rs383241_count_position.png",4,220,900)</f>
        <v/>
      </c>
      <c r="T1603">
        <f>IMAGE("https://mitra.stanford.edu/kundaje/oak/projects/neuro-variants/variant_position/credible/roussos_2024/variant_figures/roussos_2024.childhood.GLU/rs383241_profile_position.png",4,220,900)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-0.00154380558</v>
      </c>
      <c r="G1604" t="n">
        <v>0.8819632272344335</v>
      </c>
      <c r="H1604" t="n">
        <v>0.0203640769733726</v>
      </c>
      <c r="I1604" t="n">
        <v>0.0931310099210477</v>
      </c>
      <c r="J1604" t="n">
        <v>0.0524472786837956</v>
      </c>
      <c r="K1604" t="n">
        <v>0.3445135742738101</v>
      </c>
      <c r="L1604" t="b">
        <v>0</v>
      </c>
      <c r="M1604" t="b">
        <v>0</v>
      </c>
      <c r="N1604" t="inlineStr">
        <is>
          <t>ref</t>
        </is>
      </c>
      <c r="O1604" t="n">
        <v>45</v>
      </c>
      <c r="P1604" t="n">
        <v>0.002625</v>
      </c>
      <c r="Q1604" t="n">
        <v>70</v>
      </c>
      <c r="R1604" t="n">
        <v>0.04813</v>
      </c>
      <c r="S1604">
        <f>IMAGE("https://mitra.stanford.edu/kundaje/oak/projects/neuro-variants/variant_position/credible/roussos_2024/variant_figures/roussos_2024.childhood.GLU/rs81632_count_position.png",4,220,900)</f>
        <v/>
      </c>
      <c r="T1604">
        <f>IMAGE("https://mitra.stanford.edu/kundaje/oak/projects/neuro-variants/variant_position/credible/roussos_2024/variant_figures/roussos_2024.childhood.GLU/rs81632_profile_position.png",4,220,900)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0.09998777960000001</v>
      </c>
      <c r="G1605" t="n">
        <v>0.0549335045442191</v>
      </c>
      <c r="H1605" t="n">
        <v>0.0159971422919738</v>
      </c>
      <c r="I1605" t="n">
        <v>0.2094745762557699</v>
      </c>
      <c r="J1605" t="n">
        <v>0.2002431310332038</v>
      </c>
      <c r="K1605" t="n">
        <v>0.1478609593044219</v>
      </c>
      <c r="L1605" t="b">
        <v>0</v>
      </c>
      <c r="M1605" t="b">
        <v>0</v>
      </c>
      <c r="N1605" t="inlineStr">
        <is>
          <t>alt</t>
        </is>
      </c>
      <c r="O1605" t="n">
        <v>75</v>
      </c>
      <c r="P1605" t="n">
        <v>0.002472</v>
      </c>
      <c r="Q1605" t="n">
        <v>45</v>
      </c>
      <c r="R1605" t="n">
        <v>0.03076</v>
      </c>
      <c r="S1605">
        <f>IMAGE("https://mitra.stanford.edu/kundaje/oak/projects/neuro-variants/variant_position/credible/roussos_2024/variant_figures/roussos_2024.childhood.GLU/rs2942169_count_position.png",4,220,900)</f>
        <v/>
      </c>
      <c r="T1605">
        <f>IMAGE("https://mitra.stanford.edu/kundaje/oak/projects/neuro-variants/variant_position/credible/roussos_2024/variant_figures/roussos_2024.childhood.GLU/rs2942169_profile_position.png",4,220,900)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0.0541445884</v>
      </c>
      <c r="G1606" t="n">
        <v>0.1656759741426578</v>
      </c>
      <c r="H1606" t="n">
        <v>0.0173108973105256</v>
      </c>
      <c r="I1606" t="n">
        <v>0.1650563845409878</v>
      </c>
      <c r="J1606" t="n">
        <v>0.3557408800107142</v>
      </c>
      <c r="K1606" t="n">
        <v>0.0769876261104941</v>
      </c>
      <c r="L1606" t="b">
        <v>0</v>
      </c>
      <c r="M1606" t="b">
        <v>0</v>
      </c>
      <c r="N1606" t="inlineStr">
        <is>
          <t>alt</t>
        </is>
      </c>
      <c r="O1606" t="n">
        <v>100</v>
      </c>
      <c r="P1606" t="n">
        <v>0.006218</v>
      </c>
      <c r="Q1606" t="n">
        <v>-100</v>
      </c>
      <c r="R1606" t="n">
        <v>0.1367</v>
      </c>
      <c r="S1606">
        <f>IMAGE("https://mitra.stanford.edu/kundaje/oak/projects/neuro-variants/variant_position/credible/roussos_2024/variant_figures/roussos_2024.childhood.GLU/rs241041_count_position.png",4,220,900)</f>
        <v/>
      </c>
      <c r="T1606">
        <f>IMAGE("https://mitra.stanford.edu/kundaje/oak/projects/neuro-variants/variant_position/credible/roussos_2024/variant_figures/roussos_2024.childhood.GLU/rs241041_profile_position.png",4,220,900)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-0.002603735888</v>
      </c>
      <c r="G1607" t="n">
        <v>0.8626632778014429</v>
      </c>
      <c r="H1607" t="n">
        <v>0.0336215874408827</v>
      </c>
      <c r="I1607" t="n">
        <v>0.0134272647850667</v>
      </c>
      <c r="J1607" t="n">
        <v>0.0066881638455911</v>
      </c>
      <c r="K1607" t="n">
        <v>0.6470483996804101</v>
      </c>
      <c r="L1607" t="b">
        <v>0</v>
      </c>
      <c r="M1607" t="b">
        <v>0</v>
      </c>
      <c r="N1607" t="inlineStr">
        <is>
          <t>ref</t>
        </is>
      </c>
      <c r="O1607" t="n">
        <v>90</v>
      </c>
      <c r="P1607" t="n">
        <v>0.007446</v>
      </c>
      <c r="Q1607" t="n">
        <v>-100</v>
      </c>
      <c r="R1607" t="n">
        <v>0.08069999999999999</v>
      </c>
      <c r="S1607">
        <f>IMAGE("https://mitra.stanford.edu/kundaje/oak/projects/neuro-variants/variant_position/credible/roussos_2024/variant_figures/roussos_2024.childhood.GLU/rs117368197_count_position.png",4,220,900)</f>
        <v/>
      </c>
      <c r="T1607">
        <f>IMAGE("https://mitra.stanford.edu/kundaje/oak/projects/neuro-variants/variant_position/credible/roussos_2024/variant_figures/roussos_2024.childhood.GLU/rs117368197_profile_position.png",4,220,900)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0.2198618859999999</v>
      </c>
      <c r="G1608" t="n">
        <v>0.0058449032287241</v>
      </c>
      <c r="H1608" t="n">
        <v>0.0270832779123035</v>
      </c>
      <c r="I1608" t="n">
        <v>0.0340631358902755</v>
      </c>
      <c r="J1608" t="n">
        <v>0.1270926267423532</v>
      </c>
      <c r="K1608" t="n">
        <v>0.2147587253409621</v>
      </c>
      <c r="L1608" t="b">
        <v>1</v>
      </c>
      <c r="M1608" t="b">
        <v>1</v>
      </c>
      <c r="N1608" t="inlineStr">
        <is>
          <t>alt</t>
        </is>
      </c>
      <c r="O1608" t="n">
        <v>-70</v>
      </c>
      <c r="P1608" t="n">
        <v>0.00997</v>
      </c>
      <c r="Q1608" t="n">
        <v>10</v>
      </c>
      <c r="R1608" t="n">
        <v>0.02124</v>
      </c>
      <c r="S1608">
        <f>IMAGE("https://mitra.stanford.edu/kundaje/oak/projects/neuro-variants/variant_position/credible/roussos_2024/variant_figures/roussos_2024.childhood.GLU/rs413778_count_position.png",4,220,900)</f>
        <v/>
      </c>
      <c r="T1608">
        <f>IMAGE("https://mitra.stanford.edu/kundaje/oak/projects/neuro-variants/variant_position/credible/roussos_2024/variant_figures/roussos_2024.childhood.GLU/rs413778_profile_position.png",4,220,900)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-0.08757253199999999</v>
      </c>
      <c r="G1609" t="n">
        <v>0.06449324548811319</v>
      </c>
      <c r="H1609" t="n">
        <v>0.0123778402844562</v>
      </c>
      <c r="I1609" t="n">
        <v>0.415801867387108</v>
      </c>
      <c r="J1609" t="n">
        <v>0.0555265950322972</v>
      </c>
      <c r="K1609" t="n">
        <v>0.3392283221952825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0.01674</v>
      </c>
      <c r="Q1609" t="n">
        <v>-90</v>
      </c>
      <c r="R1609" t="n">
        <v>0.1426</v>
      </c>
      <c r="S1609">
        <f>IMAGE("https://mitra.stanford.edu/kundaje/oak/projects/neuro-variants/variant_position/credible/roussos_2024/variant_figures/roussos_2024.childhood.GLU/rs413917_count_position.png",4,220,900)</f>
        <v/>
      </c>
      <c r="T1609">
        <f>IMAGE("https://mitra.stanford.edu/kundaje/oak/projects/neuro-variants/variant_position/credible/roussos_2024/variant_figures/roussos_2024.childhood.GLU/rs413917_profile_position.png",4,220,900)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-0.07135169919999999</v>
      </c>
      <c r="G1610" t="n">
        <v>0.09945768675432889</v>
      </c>
      <c r="H1610" t="n">
        <v>0.0325300037268247</v>
      </c>
      <c r="I1610" t="n">
        <v>0.0155874214419774</v>
      </c>
      <c r="J1610" t="n">
        <v>0.1494132918499592</v>
      </c>
      <c r="K1610" t="n">
        <v>0.1895001003489914</v>
      </c>
      <c r="L1610" t="b">
        <v>1</v>
      </c>
      <c r="M1610" t="b">
        <v>0</v>
      </c>
      <c r="N1610" t="inlineStr">
        <is>
          <t>ref</t>
        </is>
      </c>
      <c r="O1610" t="n">
        <v>50</v>
      </c>
      <c r="P1610" t="n">
        <v>0.005356</v>
      </c>
      <c r="Q1610" t="n">
        <v>75</v>
      </c>
      <c r="R1610" t="n">
        <v>0.2137</v>
      </c>
      <c r="S1610">
        <f>IMAGE("https://mitra.stanford.edu/kundaje/oak/projects/neuro-variants/variant_position/credible/roussos_2024/variant_figures/roussos_2024.childhood.GLU/rs393675_count_position.png",4,220,900)</f>
        <v/>
      </c>
      <c r="T1610">
        <f>IMAGE("https://mitra.stanford.edu/kundaje/oak/projects/neuro-variants/variant_position/credible/roussos_2024/variant_figures/roussos_2024.childhood.GLU/rs393675_profile_position.png",4,220,900)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-0.0467148744</v>
      </c>
      <c r="G1611" t="n">
        <v>0.2142634806564393</v>
      </c>
      <c r="H1611" t="n">
        <v>0.015844588430388</v>
      </c>
      <c r="I1611" t="n">
        <v>0.2153834783601594</v>
      </c>
      <c r="J1611" t="n">
        <v>0.5670526543521485</v>
      </c>
      <c r="K1611" t="n">
        <v>0.0314266636579056</v>
      </c>
      <c r="L1611" t="b">
        <v>0</v>
      </c>
      <c r="M1611" t="b">
        <v>0</v>
      </c>
      <c r="N1611" t="inlineStr">
        <is>
          <t>ref</t>
        </is>
      </c>
      <c r="O1611" t="n">
        <v>100</v>
      </c>
      <c r="P1611" t="n">
        <v>0.01073</v>
      </c>
      <c r="Q1611" t="n">
        <v>100</v>
      </c>
      <c r="R1611" t="n">
        <v>0.124</v>
      </c>
      <c r="S1611">
        <f>IMAGE("https://mitra.stanford.edu/kundaje/oak/projects/neuro-variants/variant_position/credible/roussos_2024/variant_figures/roussos_2024.childhood.GLU/rs434598_count_position.png",4,220,900)</f>
        <v/>
      </c>
      <c r="T1611">
        <f>IMAGE("https://mitra.stanford.edu/kundaje/oak/projects/neuro-variants/variant_position/credible/roussos_2024/variant_figures/roussos_2024.childhood.GLU/rs434598_profile_position.png",4,220,900)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-0.053204819</v>
      </c>
      <c r="G1612" t="n">
        <v>0.162748492179865</v>
      </c>
      <c r="H1612" t="n">
        <v>0.0157245152906837</v>
      </c>
      <c r="I1612" t="n">
        <v>0.2122282562397661</v>
      </c>
      <c r="J1612" t="n">
        <v>0.6029968990491104</v>
      </c>
      <c r="K1612" t="n">
        <v>0.0264043301266127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0.0364</v>
      </c>
      <c r="Q1612" t="n">
        <v>100</v>
      </c>
      <c r="R1612" t="n">
        <v>0.1853</v>
      </c>
      <c r="S1612">
        <f>IMAGE("https://mitra.stanford.edu/kundaje/oak/projects/neuro-variants/variant_position/credible/roussos_2024/variant_figures/roussos_2024.childhood.GLU/rs434971_count_position.png",4,220,900)</f>
        <v/>
      </c>
      <c r="T1612">
        <f>IMAGE("https://mitra.stanford.edu/kundaje/oak/projects/neuro-variants/variant_position/credible/roussos_2024/variant_figures/roussos_2024.childhood.GLU/rs434971_profile_position.png",4,220,900)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-0.0513660579</v>
      </c>
      <c r="G1613" t="n">
        <v>0.195605730866224</v>
      </c>
      <c r="H1613" t="n">
        <v>0.0155212029400117</v>
      </c>
      <c r="I1613" t="n">
        <v>0.2318805857155924</v>
      </c>
      <c r="J1613" t="n">
        <v>0.4251372763142983</v>
      </c>
      <c r="K1613" t="n">
        <v>0.0581807237628895</v>
      </c>
      <c r="L1613" t="b">
        <v>0</v>
      </c>
      <c r="M1613" t="b">
        <v>0</v>
      </c>
      <c r="N1613" t="inlineStr">
        <is>
          <t>ref</t>
        </is>
      </c>
      <c r="O1613" t="n">
        <v>-90</v>
      </c>
      <c r="P1613" t="n">
        <v>0.002632</v>
      </c>
      <c r="Q1613" t="n">
        <v>-100</v>
      </c>
      <c r="R1613" t="n">
        <v>0.07495</v>
      </c>
      <c r="S1613">
        <f>IMAGE("https://mitra.stanford.edu/kundaje/oak/projects/neuro-variants/variant_position/credible/roussos_2024/variant_figures/roussos_2024.childhood.GLU/rs422112_count_position.png",4,220,900)</f>
        <v/>
      </c>
      <c r="T1613">
        <f>IMAGE("https://mitra.stanford.edu/kundaje/oak/projects/neuro-variants/variant_position/credible/roussos_2024/variant_figures/roussos_2024.childhood.GLU/rs422112_profile_position.png",4,220,900)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0.0381210094</v>
      </c>
      <c r="G1614" t="n">
        <v>0.2473286482202686</v>
      </c>
      <c r="H1614" t="n">
        <v>0.0105256000618261</v>
      </c>
      <c r="I1614" t="n">
        <v>0.5770733457548786</v>
      </c>
      <c r="J1614" t="n">
        <v>0.0739551031761566</v>
      </c>
      <c r="K1614" t="n">
        <v>0.3034035833519065</v>
      </c>
      <c r="L1614" t="b">
        <v>0</v>
      </c>
      <c r="M1614" t="b">
        <v>0</v>
      </c>
      <c r="N1614" t="inlineStr">
        <is>
          <t>alt</t>
        </is>
      </c>
      <c r="O1614" t="n">
        <v>25</v>
      </c>
      <c r="P1614" t="n">
        <v>0.002121</v>
      </c>
      <c r="Q1614" t="n">
        <v>25</v>
      </c>
      <c r="R1614" t="n">
        <v>0.09216000000000001</v>
      </c>
      <c r="S1614">
        <f>IMAGE("https://mitra.stanford.edu/kundaje/oak/projects/neuro-variants/variant_position/credible/roussos_2024/variant_figures/roussos_2024.childhood.GLU/rs241032_count_position.png",4,220,900)</f>
        <v/>
      </c>
      <c r="T1614">
        <f>IMAGE("https://mitra.stanford.edu/kundaje/oak/projects/neuro-variants/variant_position/credible/roussos_2024/variant_figures/roussos_2024.childhood.GLU/rs241032_profile_position.png",4,220,900)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0.09004571239999989</v>
      </c>
      <c r="G1615" t="n">
        <v>0.0566308534655321</v>
      </c>
      <c r="H1615" t="n">
        <v>0.0138850812753732</v>
      </c>
      <c r="I1615" t="n">
        <v>0.3092591425152343</v>
      </c>
      <c r="J1615" t="n">
        <v>0.07032153048924961</v>
      </c>
      <c r="K1615" t="n">
        <v>0.3088648070477796</v>
      </c>
      <c r="L1615" t="b">
        <v>0</v>
      </c>
      <c r="M1615" t="b">
        <v>0</v>
      </c>
      <c r="N1615" t="inlineStr">
        <is>
          <t>alt</t>
        </is>
      </c>
      <c r="O1615" t="n">
        <v>-85</v>
      </c>
      <c r="P1615" t="n">
        <v>0.00627</v>
      </c>
      <c r="Q1615" t="n">
        <v>10</v>
      </c>
      <c r="R1615" t="n">
        <v>0.01843</v>
      </c>
      <c r="S1615">
        <f>IMAGE("https://mitra.stanford.edu/kundaje/oak/projects/neuro-variants/variant_position/credible/roussos_2024/variant_figures/roussos_2024.childhood.GLU/rs241031_count_position.png",4,220,900)</f>
        <v/>
      </c>
      <c r="T1615">
        <f>IMAGE("https://mitra.stanford.edu/kundaje/oak/projects/neuro-variants/variant_position/credible/roussos_2024/variant_figures/roussos_2024.childhood.GLU/rs241031_profile_position.png",4,220,900)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-0.0020954508999999</v>
      </c>
      <c r="G1616" t="n">
        <v>0.7191383985075627</v>
      </c>
      <c r="H1616" t="n">
        <v>0.0081142402302182</v>
      </c>
      <c r="I1616" t="n">
        <v>0.8658167656750003</v>
      </c>
      <c r="J1616" t="n">
        <v>0.1167358628576137</v>
      </c>
      <c r="K1616" t="n">
        <v>0.2248076253768098</v>
      </c>
      <c r="L1616" t="b">
        <v>0</v>
      </c>
      <c r="M1616" t="b">
        <v>0</v>
      </c>
      <c r="N1616" t="inlineStr">
        <is>
          <t>ref</t>
        </is>
      </c>
      <c r="O1616" t="n">
        <v>20</v>
      </c>
      <c r="P1616" t="n">
        <v>0.001339</v>
      </c>
      <c r="Q1616" t="n">
        <v>35</v>
      </c>
      <c r="R1616" t="n">
        <v>0.01947</v>
      </c>
      <c r="S1616">
        <f>IMAGE("https://mitra.stanford.edu/kundaje/oak/projects/neuro-variants/variant_position/credible/roussos_2024/variant_figures/roussos_2024.childhood.GLU/rs241022_count_position.png",4,220,900)</f>
        <v/>
      </c>
      <c r="T1616">
        <f>IMAGE("https://mitra.stanford.edu/kundaje/oak/projects/neuro-variants/variant_position/credible/roussos_2024/variant_figures/roussos_2024.childhood.GLU/rs241022_profile_position.png",4,220,900)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0.0331415012</v>
      </c>
      <c r="G1617" t="n">
        <v>0.2912789435617319</v>
      </c>
      <c r="H1617" t="n">
        <v>0.0148588751441148</v>
      </c>
      <c r="I1617" t="n">
        <v>0.2552520440512785</v>
      </c>
      <c r="J1617" t="n">
        <v>0.0741147866937269</v>
      </c>
      <c r="K1617" t="n">
        <v>0.2924660863230734</v>
      </c>
      <c r="L1617" t="b">
        <v>0</v>
      </c>
      <c r="M1617" t="b">
        <v>0</v>
      </c>
      <c r="N1617" t="inlineStr">
        <is>
          <t>alt</t>
        </is>
      </c>
      <c r="O1617" t="n">
        <v>-100</v>
      </c>
      <c r="P1617" t="n">
        <v>0.01534</v>
      </c>
      <c r="Q1617" t="n">
        <v>85</v>
      </c>
      <c r="R1617" t="n">
        <v>0.1831</v>
      </c>
      <c r="S1617">
        <f>IMAGE("https://mitra.stanford.edu/kundaje/oak/projects/neuro-variants/variant_position/credible/roussos_2024/variant_figures/roussos_2024.childhood.GLU/rs241020_count_position.png",4,220,900)</f>
        <v/>
      </c>
      <c r="T1617">
        <f>IMAGE("https://mitra.stanford.edu/kundaje/oak/projects/neuro-variants/variant_position/credible/roussos_2024/variant_figures/roussos_2024.childhood.GLU/rs241020_profile_position.png",4,220,900)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-0.00413242484</v>
      </c>
      <c r="G1618" t="n">
        <v>0.8361419708607221</v>
      </c>
      <c r="H1618" t="n">
        <v>0.0283277746631349</v>
      </c>
      <c r="I1618" t="n">
        <v>0.0276079656484757</v>
      </c>
      <c r="J1618" t="n">
        <v>0.0858427683970865</v>
      </c>
      <c r="K1618" t="n">
        <v>0.268314051309353</v>
      </c>
      <c r="L1618" t="b">
        <v>0</v>
      </c>
      <c r="M1618" t="b">
        <v>0</v>
      </c>
      <c r="N1618" t="inlineStr">
        <is>
          <t>ref</t>
        </is>
      </c>
      <c r="O1618" t="n">
        <v>-100</v>
      </c>
      <c r="P1618" t="n">
        <v>0.00483</v>
      </c>
      <c r="Q1618" t="n">
        <v>100</v>
      </c>
      <c r="R1618" t="n">
        <v>0.08210000000000001</v>
      </c>
      <c r="S1618">
        <f>IMAGE("https://mitra.stanford.edu/kundaje/oak/projects/neuro-variants/variant_position/credible/roussos_2024/variant_figures/roussos_2024.childhood.GLU/rs79675109_count_position.png",4,220,900)</f>
        <v/>
      </c>
      <c r="T1618">
        <f>IMAGE("https://mitra.stanford.edu/kundaje/oak/projects/neuro-variants/variant_position/credible/roussos_2024/variant_figures/roussos_2024.childhood.GLU/rs79675109_profile_position.png",4,220,900)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0.1366536746</v>
      </c>
      <c r="G1619" t="n">
        <v>0.023366020630293</v>
      </c>
      <c r="H1619" t="n">
        <v>0.0184198412304947</v>
      </c>
      <c r="I1619" t="n">
        <v>0.1285637426137849</v>
      </c>
      <c r="J1619" t="n">
        <v>0.4655547199357144</v>
      </c>
      <c r="K1619" t="n">
        <v>0.0479087740674245</v>
      </c>
      <c r="L1619" t="b">
        <v>0</v>
      </c>
      <c r="M1619" t="b">
        <v>0</v>
      </c>
      <c r="N1619" t="inlineStr">
        <is>
          <t>alt</t>
        </is>
      </c>
      <c r="O1619" t="n">
        <v>65</v>
      </c>
      <c r="P1619" t="n">
        <v>0.01294</v>
      </c>
      <c r="Q1619" t="n">
        <v>-20</v>
      </c>
      <c r="R1619" t="n">
        <v>0.08840000000000001</v>
      </c>
      <c r="S1619">
        <f>IMAGE("https://mitra.stanford.edu/kundaje/oak/projects/neuro-variants/variant_position/credible/roussos_2024/variant_figures/roussos_2024.childhood.GLU/rs62053950_count_position.png",4,220,900)</f>
        <v/>
      </c>
      <c r="T1619">
        <f>IMAGE("https://mitra.stanford.edu/kundaje/oak/projects/neuro-variants/variant_position/credible/roussos_2024/variant_figures/roussos_2024.childhood.GLU/rs62053950_profile_position.png",4,220,900)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0.0230389576</v>
      </c>
      <c r="G1620" t="n">
        <v>0.4065785298689017</v>
      </c>
      <c r="H1620" t="n">
        <v>0.0122462222958163</v>
      </c>
      <c r="I1620" t="n">
        <v>0.4398897528404904</v>
      </c>
      <c r="J1620" t="n">
        <v>0.4473147413642123</v>
      </c>
      <c r="K1620" t="n">
        <v>0.0528029074778154</v>
      </c>
      <c r="L1620" t="b">
        <v>0</v>
      </c>
      <c r="M1620" t="b">
        <v>0</v>
      </c>
      <c r="N1620" t="inlineStr">
        <is>
          <t>alt</t>
        </is>
      </c>
      <c r="O1620" t="n">
        <v>-40</v>
      </c>
      <c r="P1620" t="n">
        <v>0.005814</v>
      </c>
      <c r="Q1620" t="n">
        <v>75</v>
      </c>
      <c r="R1620" t="n">
        <v>0.1283</v>
      </c>
      <c r="S1620">
        <f>IMAGE("https://mitra.stanford.edu/kundaje/oak/projects/neuro-variants/variant_position/credible/roussos_2024/variant_figures/roussos_2024.childhood.GLU/rs62053953_count_position.png",4,220,900)</f>
        <v/>
      </c>
      <c r="T1620">
        <f>IMAGE("https://mitra.stanford.edu/kundaje/oak/projects/neuro-variants/variant_position/credible/roussos_2024/variant_figures/roussos_2024.childhood.GLU/rs62053953_profile_position.png",4,220,900)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0.0247459334</v>
      </c>
      <c r="G1621" t="n">
        <v>0.3888287443715888</v>
      </c>
      <c r="H1621" t="n">
        <v>0.0118054485914278</v>
      </c>
      <c r="I1621" t="n">
        <v>0.4766946907017289</v>
      </c>
      <c r="J1621" t="n">
        <v>0.493844457951724</v>
      </c>
      <c r="K1621" t="n">
        <v>0.0429419877753818</v>
      </c>
      <c r="L1621" t="b">
        <v>0</v>
      </c>
      <c r="M1621" t="b">
        <v>0</v>
      </c>
      <c r="N1621" t="inlineStr">
        <is>
          <t>alt</t>
        </is>
      </c>
      <c r="O1621" t="n">
        <v>100</v>
      </c>
      <c r="P1621" t="n">
        <v>0.003536</v>
      </c>
      <c r="Q1621" t="n">
        <v>100</v>
      </c>
      <c r="R1621" t="n">
        <v>0.04337</v>
      </c>
      <c r="S1621">
        <f>IMAGE("https://mitra.stanford.edu/kundaje/oak/projects/neuro-variants/variant_position/credible/roussos_2024/variant_figures/roussos_2024.childhood.GLU/rs17687534_count_position.png",4,220,900)</f>
        <v/>
      </c>
      <c r="T1621">
        <f>IMAGE("https://mitra.stanford.edu/kundaje/oak/projects/neuro-variants/variant_position/credible/roussos_2024/variant_figures/roussos_2024.childhood.GLU/rs17687534_profile_position.png",4,220,900)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0.0696799226</v>
      </c>
      <c r="G1622" t="n">
        <v>0.1113167822398983</v>
      </c>
      <c r="H1622" t="n">
        <v>0.018631361247435</v>
      </c>
      <c r="I1622" t="n">
        <v>0.1311134283083796</v>
      </c>
      <c r="J1622" t="n">
        <v>0.4879578023427117</v>
      </c>
      <c r="K1622" t="n">
        <v>0.0440292585561236</v>
      </c>
      <c r="L1622" t="b">
        <v>0</v>
      </c>
      <c r="M1622" t="b">
        <v>0</v>
      </c>
      <c r="N1622" t="inlineStr">
        <is>
          <t>alt</t>
        </is>
      </c>
      <c r="O1622" t="n">
        <v>-30</v>
      </c>
      <c r="P1622" t="n">
        <v>0.009735000000000001</v>
      </c>
      <c r="Q1622" t="n">
        <v>-35</v>
      </c>
      <c r="R1622" t="n">
        <v>0.1343</v>
      </c>
      <c r="S1622">
        <f>IMAGE("https://mitra.stanford.edu/kundaje/oak/projects/neuro-variants/variant_position/credible/roussos_2024/variant_figures/roussos_2024.childhood.GLU/rs1631850_count_position.png",4,220,900)</f>
        <v/>
      </c>
      <c r="T1622">
        <f>IMAGE("https://mitra.stanford.edu/kundaje/oak/projects/neuro-variants/variant_position/credible/roussos_2024/variant_figures/roussos_2024.childhood.GLU/rs1631850_profile_position.png",4,220,900)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0.05266094</v>
      </c>
      <c r="G1623" t="n">
        <v>0.1610563783468818</v>
      </c>
      <c r="H1623" t="n">
        <v>0.0124909929733099</v>
      </c>
      <c r="I1623" t="n">
        <v>0.4126405567717366</v>
      </c>
      <c r="J1623" t="n">
        <v>0.452429765007675</v>
      </c>
      <c r="K1623" t="n">
        <v>0.0512784082174523</v>
      </c>
      <c r="L1623" t="b">
        <v>0</v>
      </c>
      <c r="M1623" t="b">
        <v>0</v>
      </c>
      <c r="N1623" t="inlineStr">
        <is>
          <t>alt</t>
        </is>
      </c>
      <c r="O1623" t="n">
        <v>-70</v>
      </c>
      <c r="P1623" t="n">
        <v>0.02762</v>
      </c>
      <c r="Q1623" t="n">
        <v>-70</v>
      </c>
      <c r="R1623" t="n">
        <v>0.2627</v>
      </c>
      <c r="S1623">
        <f>IMAGE("https://mitra.stanford.edu/kundaje/oak/projects/neuro-variants/variant_position/credible/roussos_2024/variant_figures/roussos_2024.childhood.GLU/rs62053955_count_position.png",4,220,900)</f>
        <v/>
      </c>
      <c r="T1623">
        <f>IMAGE("https://mitra.stanford.edu/kundaje/oak/projects/neuro-variants/variant_position/credible/roussos_2024/variant_figures/roussos_2024.childhood.GLU/rs62053955_profile_position.png",4,220,900)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-0.0056334321999999</v>
      </c>
      <c r="G1624" t="n">
        <v>0.5907032334453289</v>
      </c>
      <c r="H1624" t="n">
        <v>0.0094816266720649</v>
      </c>
      <c r="I1624" t="n">
        <v>0.7189859574802698</v>
      </c>
      <c r="J1624" t="n">
        <v>0.1444713445352179</v>
      </c>
      <c r="K1624" t="n">
        <v>0.1954258525190154</v>
      </c>
      <c r="L1624" t="b">
        <v>0</v>
      </c>
      <c r="M1624" t="b">
        <v>0</v>
      </c>
      <c r="N1624" t="inlineStr">
        <is>
          <t>ref</t>
        </is>
      </c>
      <c r="O1624" t="n">
        <v>100</v>
      </c>
      <c r="P1624" t="n">
        <v>0.01701</v>
      </c>
      <c r="Q1624" t="n">
        <v>-10</v>
      </c>
      <c r="R1624" t="n">
        <v>0.01904</v>
      </c>
      <c r="S1624">
        <f>IMAGE("https://mitra.stanford.edu/kundaje/oak/projects/neuro-variants/variant_position/credible/roussos_2024/variant_figures/roussos_2024.childhood.GLU/rs62055662_count_position.png",4,220,900)</f>
        <v/>
      </c>
      <c r="T1624">
        <f>IMAGE("https://mitra.stanford.edu/kundaje/oak/projects/neuro-variants/variant_position/credible/roussos_2024/variant_figures/roussos_2024.childhood.GLU/rs62055662_profile_position.png",4,220,900)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0.102394689</v>
      </c>
      <c r="G1625" t="n">
        <v>0.0460299555590762</v>
      </c>
      <c r="H1625" t="n">
        <v>0.0270656306233743</v>
      </c>
      <c r="I1625" t="n">
        <v>0.0361116723449852</v>
      </c>
      <c r="J1625" t="n">
        <v>0.4274532024271894</v>
      </c>
      <c r="K1625" t="n">
        <v>0.0577047157340201</v>
      </c>
      <c r="L1625" t="b">
        <v>0</v>
      </c>
      <c r="M1625" t="b">
        <v>0</v>
      </c>
      <c r="N1625" t="inlineStr">
        <is>
          <t>alt</t>
        </is>
      </c>
      <c r="O1625" t="n">
        <v>5</v>
      </c>
      <c r="P1625" t="n">
        <v>0.002686</v>
      </c>
      <c r="Q1625" t="n">
        <v>35</v>
      </c>
      <c r="R1625" t="n">
        <v>0.1089</v>
      </c>
      <c r="S1625">
        <f>IMAGE("https://mitra.stanford.edu/kundaje/oak/projects/neuro-variants/variant_position/credible/roussos_2024/variant_figures/roussos_2024.childhood.GLU/rs757500_count_position.png",4,220,900)</f>
        <v/>
      </c>
      <c r="T1625">
        <f>IMAGE("https://mitra.stanford.edu/kundaje/oak/projects/neuro-variants/variant_position/credible/roussos_2024/variant_figures/roussos_2024.childhood.GLU/rs757500_profile_position.png",4,220,900)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-0.1246846592</v>
      </c>
      <c r="G1626" t="n">
        <v>0.0296790514197019</v>
      </c>
      <c r="H1626" t="n">
        <v>0.0228040173117226</v>
      </c>
      <c r="I1626" t="n">
        <v>0.0633918263201499</v>
      </c>
      <c r="J1626" t="n">
        <v>0.3758620334408192</v>
      </c>
      <c r="K1626" t="n">
        <v>0.0710422730547132</v>
      </c>
      <c r="L1626" t="b">
        <v>0</v>
      </c>
      <c r="M1626" t="b">
        <v>0</v>
      </c>
      <c r="N1626" t="inlineStr">
        <is>
          <t>ref</t>
        </is>
      </c>
      <c r="O1626" t="n">
        <v>-70</v>
      </c>
      <c r="P1626" t="n">
        <v>0.0219</v>
      </c>
      <c r="Q1626" t="n">
        <v>-20</v>
      </c>
      <c r="R1626" t="n">
        <v>0.189</v>
      </c>
      <c r="S1626">
        <f>IMAGE("https://mitra.stanford.edu/kundaje/oak/projects/neuro-variants/variant_position/credible/roussos_2024/variant_figures/roussos_2024.childhood.GLU/rs62055693_count_position.png",4,220,900)</f>
        <v/>
      </c>
      <c r="T1626">
        <f>IMAGE("https://mitra.stanford.edu/kundaje/oak/projects/neuro-variants/variant_position/credible/roussos_2024/variant_figures/roussos_2024.childhood.GLU/rs62055693_profile_position.png",4,220,900)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0.093111508</v>
      </c>
      <c r="G1627" t="n">
        <v>0.0611846532495695</v>
      </c>
      <c r="H1627" t="n">
        <v>0.0402803640697327</v>
      </c>
      <c r="I1627" t="n">
        <v>0.0066838516826247</v>
      </c>
      <c r="J1627" t="n">
        <v>0.1348717895886346</v>
      </c>
      <c r="K1627" t="n">
        <v>0.2026964979728707</v>
      </c>
      <c r="L1627" t="b">
        <v>1</v>
      </c>
      <c r="M1627" t="b">
        <v>1</v>
      </c>
      <c r="N1627" t="inlineStr">
        <is>
          <t>alt</t>
        </is>
      </c>
      <c r="O1627" t="n">
        <v>100</v>
      </c>
      <c r="P1627" t="n">
        <v>0.003784</v>
      </c>
      <c r="Q1627" t="n">
        <v>20</v>
      </c>
      <c r="R1627" t="n">
        <v>0.0476</v>
      </c>
      <c r="S1627">
        <f>IMAGE("https://mitra.stanford.edu/kundaje/oak/projects/neuro-variants/variant_position/credible/roussos_2024/variant_figures/roussos_2024.childhood.GLU/rs17687849_count_position.png",4,220,900)</f>
        <v/>
      </c>
      <c r="T1627">
        <f>IMAGE("https://mitra.stanford.edu/kundaje/oak/projects/neuro-variants/variant_position/credible/roussos_2024/variant_figures/roussos_2024.childhood.GLU/rs17687849_profile_position.png",4,220,900)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-0.006589735088</v>
      </c>
      <c r="G1628" t="n">
        <v>0.7610021029817891</v>
      </c>
      <c r="H1628" t="n">
        <v>0.022510248859301</v>
      </c>
      <c r="I1628" t="n">
        <v>0.0639329383855823</v>
      </c>
      <c r="J1628" t="n">
        <v>0.0101156932840202</v>
      </c>
      <c r="K1628" t="n">
        <v>0.5862449107470791</v>
      </c>
      <c r="L1628" t="b">
        <v>0</v>
      </c>
      <c r="M1628" t="b">
        <v>0</v>
      </c>
      <c r="N1628" t="inlineStr">
        <is>
          <t>ref</t>
        </is>
      </c>
      <c r="O1628" t="n">
        <v>-25</v>
      </c>
      <c r="P1628" t="n">
        <v>0.003134</v>
      </c>
      <c r="Q1628" t="n">
        <v>-95</v>
      </c>
      <c r="R1628" t="n">
        <v>0.0699</v>
      </c>
      <c r="S1628">
        <f>IMAGE("https://mitra.stanford.edu/kundaje/oak/projects/neuro-variants/variant_position/credible/roussos_2024/variant_figures/roussos_2024.childhood.GLU/rs62055706_count_position.png",4,220,900)</f>
        <v/>
      </c>
      <c r="T1628">
        <f>IMAGE("https://mitra.stanford.edu/kundaje/oak/projects/neuro-variants/variant_position/credible/roussos_2024/variant_figures/roussos_2024.childhood.GLU/rs62055706_profile_position.png",4,220,900)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0.0506206138</v>
      </c>
      <c r="G1629" t="n">
        <v>0.176274057957551</v>
      </c>
      <c r="H1629" t="n">
        <v>0.0154057030613865</v>
      </c>
      <c r="I1629" t="n">
        <v>0.2287343986312756</v>
      </c>
      <c r="J1629" t="n">
        <v>0.0392285740776988</v>
      </c>
      <c r="K1629" t="n">
        <v>0.3860481610767161</v>
      </c>
      <c r="L1629" t="b">
        <v>0</v>
      </c>
      <c r="M1629" t="b">
        <v>0</v>
      </c>
      <c r="N1629" t="inlineStr">
        <is>
          <t>alt</t>
        </is>
      </c>
      <c r="O1629" t="n">
        <v>100</v>
      </c>
      <c r="P1629" t="n">
        <v>0.01135</v>
      </c>
      <c r="Q1629" t="n">
        <v>65</v>
      </c>
      <c r="R1629" t="n">
        <v>0.03003</v>
      </c>
      <c r="S1629">
        <f>IMAGE("https://mitra.stanford.edu/kundaje/oak/projects/neuro-variants/variant_position/credible/roussos_2024/variant_figures/roussos_2024.childhood.GLU/rs2158474_count_position.png",4,220,900)</f>
        <v/>
      </c>
      <c r="T1629">
        <f>IMAGE("https://mitra.stanford.edu/kundaje/oak/projects/neuro-variants/variant_position/credible/roussos_2024/variant_figures/roussos_2024.childhood.GLU/rs2158474_profile_position.png",4,220,900)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-0.27489514</v>
      </c>
      <c r="G1630" t="n">
        <v>0.0028550213979816</v>
      </c>
      <c r="H1630" t="n">
        <v>0.0410146724018938</v>
      </c>
      <c r="I1630" t="n">
        <v>0.0062420033616788</v>
      </c>
      <c r="J1630" t="n">
        <v>0.0361616203241059</v>
      </c>
      <c r="K1630" t="n">
        <v>0.398569264741031</v>
      </c>
      <c r="L1630" t="b">
        <v>1</v>
      </c>
      <c r="M1630" t="b">
        <v>1</v>
      </c>
      <c r="N1630" t="inlineStr">
        <is>
          <t>ref</t>
        </is>
      </c>
      <c r="O1630" t="n">
        <v>90</v>
      </c>
      <c r="P1630" t="n">
        <v>0.0228</v>
      </c>
      <c r="Q1630" t="n">
        <v>-55</v>
      </c>
      <c r="R1630" t="n">
        <v>0.06006</v>
      </c>
      <c r="S1630">
        <f>IMAGE("https://mitra.stanford.edu/kundaje/oak/projects/neuro-variants/variant_position/credible/roussos_2024/variant_figures/roussos_2024.childhood.GLU/rs62055708_count_position.png",4,220,900)</f>
        <v/>
      </c>
      <c r="T1630">
        <f>IMAGE("https://mitra.stanford.edu/kundaje/oak/projects/neuro-variants/variant_position/credible/roussos_2024/variant_figures/roussos_2024.childhood.GLU/rs62055708_profile_position.png",4,220,900)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-0.1334477748</v>
      </c>
      <c r="G1631" t="n">
        <v>0.0253345994003505</v>
      </c>
      <c r="H1631" t="n">
        <v>0.0272665157481524</v>
      </c>
      <c r="I1631" t="n">
        <v>0.033220169192809</v>
      </c>
      <c r="J1631" t="n">
        <v>0.28427477927617</v>
      </c>
      <c r="K1631" t="n">
        <v>0.103200624440439</v>
      </c>
      <c r="L1631" t="b">
        <v>0</v>
      </c>
      <c r="M1631" t="b">
        <v>0</v>
      </c>
      <c r="N1631" t="inlineStr">
        <is>
          <t>ref</t>
        </is>
      </c>
      <c r="O1631" t="n">
        <v>100</v>
      </c>
      <c r="P1631" t="n">
        <v>0.010025</v>
      </c>
      <c r="Q1631" t="n">
        <v>75</v>
      </c>
      <c r="R1631" t="n">
        <v>0.1342</v>
      </c>
      <c r="S1631">
        <f>IMAGE("https://mitra.stanford.edu/kundaje/oak/projects/neuro-variants/variant_position/credible/roussos_2024/variant_figures/roussos_2024.childhood.GLU/rs62055714_count_position.png",4,220,900)</f>
        <v/>
      </c>
      <c r="T1631">
        <f>IMAGE("https://mitra.stanford.edu/kundaje/oak/projects/neuro-variants/variant_position/credible/roussos_2024/variant_figures/roussos_2024.childhood.GLU/rs62055714_profile_position.png",4,220,900)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0.01131659594</v>
      </c>
      <c r="G1632" t="n">
        <v>0.5646821193249038</v>
      </c>
      <c r="H1632" t="n">
        <v>0.008660938830406801</v>
      </c>
      <c r="I1632" t="n">
        <v>0.811903790330296</v>
      </c>
      <c r="J1632" t="n">
        <v>0.3388381221218333</v>
      </c>
      <c r="K1632" t="n">
        <v>0.0823942422692823</v>
      </c>
      <c r="L1632" t="b">
        <v>0</v>
      </c>
      <c r="M1632" t="b">
        <v>0</v>
      </c>
      <c r="N1632" t="inlineStr">
        <is>
          <t>alt</t>
        </is>
      </c>
      <c r="O1632" t="n">
        <v>-100</v>
      </c>
      <c r="P1632" t="n">
        <v>0.01079</v>
      </c>
      <c r="Q1632" t="n">
        <v>30</v>
      </c>
      <c r="R1632" t="n">
        <v>0.05347</v>
      </c>
      <c r="S1632">
        <f>IMAGE("https://mitra.stanford.edu/kundaje/oak/projects/neuro-variants/variant_position/credible/roussos_2024/variant_figures/roussos_2024.childhood.GLU/rs56323832_count_position.png",4,220,900)</f>
        <v/>
      </c>
      <c r="T1632">
        <f>IMAGE("https://mitra.stanford.edu/kundaje/oak/projects/neuro-variants/variant_position/credible/roussos_2024/variant_figures/roussos_2024.childhood.GLU/rs56323832_profile_position.png",4,220,900)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-0.01945758154</v>
      </c>
      <c r="G1633" t="n">
        <v>0.4914521533594178</v>
      </c>
      <c r="H1633" t="n">
        <v>0.0119944802698933</v>
      </c>
      <c r="I1633" t="n">
        <v>0.4587541298034519</v>
      </c>
      <c r="J1633" t="n">
        <v>0.2466997022675059</v>
      </c>
      <c r="K1633" t="n">
        <v>0.1213340499935841</v>
      </c>
      <c r="L1633" t="b">
        <v>0</v>
      </c>
      <c r="M1633" t="b">
        <v>0</v>
      </c>
      <c r="N1633" t="inlineStr">
        <is>
          <t>ref</t>
        </is>
      </c>
      <c r="O1633" t="n">
        <v>-100</v>
      </c>
      <c r="P1633" t="n">
        <v>0.04028</v>
      </c>
      <c r="Q1633" t="n">
        <v>-100</v>
      </c>
      <c r="R1633" t="n">
        <v>0.1855</v>
      </c>
      <c r="S1633">
        <f>IMAGE("https://mitra.stanford.edu/kundaje/oak/projects/neuro-variants/variant_position/credible/roussos_2024/variant_figures/roussos_2024.childhood.GLU/rs62056864_count_position.png",4,220,900)</f>
        <v/>
      </c>
      <c r="T1633">
        <f>IMAGE("https://mitra.stanford.edu/kundaje/oak/projects/neuro-variants/variant_position/credible/roussos_2024/variant_figures/roussos_2024.childhood.GLU/rs62056864_profile_position.png",4,220,900)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0.0384899648</v>
      </c>
      <c r="G1634" t="n">
        <v>0.2493835357867519</v>
      </c>
      <c r="H1634" t="n">
        <v>0.0221435639325866</v>
      </c>
      <c r="I1634" t="n">
        <v>0.0683195287544075</v>
      </c>
      <c r="J1634" t="n">
        <v>0.1072722964550258</v>
      </c>
      <c r="K1634" t="n">
        <v>0.2347978551569632</v>
      </c>
      <c r="L1634" t="b">
        <v>0</v>
      </c>
      <c r="M1634" t="b">
        <v>0</v>
      </c>
      <c r="N1634" t="inlineStr">
        <is>
          <t>alt</t>
        </is>
      </c>
      <c r="O1634" t="n">
        <v>-100</v>
      </c>
      <c r="P1634" t="n">
        <v>0.009889999999999999</v>
      </c>
      <c r="Q1634" t="n">
        <v>100</v>
      </c>
      <c r="R1634" t="n">
        <v>0.2046</v>
      </c>
      <c r="S1634">
        <f>IMAGE("https://mitra.stanford.edu/kundaje/oak/projects/neuro-variants/variant_position/credible/roussos_2024/variant_figures/roussos_2024.childhood.GLU/rs56200760_count_position.png",4,220,900)</f>
        <v/>
      </c>
      <c r="T1634">
        <f>IMAGE("https://mitra.stanford.edu/kundaje/oak/projects/neuro-variants/variant_position/credible/roussos_2024/variant_figures/roussos_2024.childhood.GLU/rs56200760_profile_position.png",4,220,900)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0.0193704094</v>
      </c>
      <c r="G1635" t="n">
        <v>0.4515975635230608</v>
      </c>
      <c r="H1635" t="n">
        <v>0.0197333169942201</v>
      </c>
      <c r="I1635" t="n">
        <v>0.10275230112788</v>
      </c>
      <c r="J1635" t="n">
        <v>0.1363202736254339</v>
      </c>
      <c r="K1635" t="n">
        <v>0.2000108758706091</v>
      </c>
      <c r="L1635" t="b">
        <v>0</v>
      </c>
      <c r="M1635" t="b">
        <v>0</v>
      </c>
      <c r="N1635" t="inlineStr">
        <is>
          <t>alt</t>
        </is>
      </c>
      <c r="O1635" t="n">
        <v>80</v>
      </c>
      <c r="P1635" t="n">
        <v>0.015366</v>
      </c>
      <c r="Q1635" t="n">
        <v>35</v>
      </c>
      <c r="R1635" t="n">
        <v>0.12134</v>
      </c>
      <c r="S1635">
        <f>IMAGE("https://mitra.stanford.edu/kundaje/oak/projects/neuro-variants/variant_position/credible/roussos_2024/variant_figures/roussos_2024.childhood.GLU/rs17688391_count_position.png",4,220,900)</f>
        <v/>
      </c>
      <c r="T1635">
        <f>IMAGE("https://mitra.stanford.edu/kundaje/oak/projects/neuro-variants/variant_position/credible/roussos_2024/variant_figures/roussos_2024.childhood.GLU/rs17688391_profile_position.png",4,220,900)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0.175068614</v>
      </c>
      <c r="G1636" t="n">
        <v>0.0110078052006595</v>
      </c>
      <c r="H1636" t="n">
        <v>0.0517939619564396</v>
      </c>
      <c r="I1636" t="n">
        <v>0.0024869950498607</v>
      </c>
      <c r="J1636" t="n">
        <v>0.2692078667312269</v>
      </c>
      <c r="K1636" t="n">
        <v>0.1096312448347915</v>
      </c>
      <c r="L1636" t="b">
        <v>1</v>
      </c>
      <c r="M1636" t="b">
        <v>1</v>
      </c>
      <c r="N1636" t="inlineStr">
        <is>
          <t>alt</t>
        </is>
      </c>
      <c r="O1636" t="n">
        <v>-25</v>
      </c>
      <c r="P1636" t="n">
        <v>0.003876</v>
      </c>
      <c r="Q1636" t="n">
        <v>-95</v>
      </c>
      <c r="R1636" t="n">
        <v>0.0803</v>
      </c>
      <c r="S1636">
        <f>IMAGE("https://mitra.stanford.edu/kundaje/oak/projects/neuro-variants/variant_position/credible/roussos_2024/variant_figures/roussos_2024.childhood.GLU/rs17688410_count_position.png",4,220,900)</f>
        <v/>
      </c>
      <c r="T1636">
        <f>IMAGE("https://mitra.stanford.edu/kundaje/oak/projects/neuro-variants/variant_position/credible/roussos_2024/variant_figures/roussos_2024.childhood.GLU/rs17688410_profile_position.png",4,220,900)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0.1011744168</v>
      </c>
      <c r="G1637" t="n">
        <v>0.0427798104346734</v>
      </c>
      <c r="H1637" t="n">
        <v>0.0144975341533745</v>
      </c>
      <c r="I1637" t="n">
        <v>0.2790986065466541</v>
      </c>
      <c r="J1637" t="n">
        <v>0.2347121060710642</v>
      </c>
      <c r="K1637" t="n">
        <v>0.1291962631110904</v>
      </c>
      <c r="L1637" t="b">
        <v>0</v>
      </c>
      <c r="M1637" t="b">
        <v>0</v>
      </c>
      <c r="N1637" t="inlineStr">
        <is>
          <t>alt</t>
        </is>
      </c>
      <c r="O1637" t="n">
        <v>-75</v>
      </c>
      <c r="P1637" t="n">
        <v>0.005196</v>
      </c>
      <c r="Q1637" t="n">
        <v>-65</v>
      </c>
      <c r="R1637" t="n">
        <v>0.1636</v>
      </c>
      <c r="S1637">
        <f>IMAGE("https://mitra.stanford.edu/kundaje/oak/projects/neuro-variants/variant_position/credible/roussos_2024/variant_figures/roussos_2024.childhood.GLU/rs17688558_count_position.png",4,220,900)</f>
        <v/>
      </c>
      <c r="T1637">
        <f>IMAGE("https://mitra.stanford.edu/kundaje/oak/projects/neuro-variants/variant_position/credible/roussos_2024/variant_figures/roussos_2024.childhood.GLU/rs17688558_profile_position.png",4,220,900)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0.00253188434</v>
      </c>
      <c r="G1638" t="n">
        <v>0.7261586708066657</v>
      </c>
      <c r="H1638" t="n">
        <v>0.0120334757377219</v>
      </c>
      <c r="I1638" t="n">
        <v>0.4518099604146954</v>
      </c>
      <c r="J1638" t="n">
        <v>0.1823317914430238</v>
      </c>
      <c r="K1638" t="n">
        <v>0.1601356901699615</v>
      </c>
      <c r="L1638" t="b">
        <v>0</v>
      </c>
      <c r="M1638" t="b">
        <v>0</v>
      </c>
      <c r="N1638" t="inlineStr">
        <is>
          <t>alt</t>
        </is>
      </c>
      <c r="O1638" t="n">
        <v>-75</v>
      </c>
      <c r="P1638" t="n">
        <v>0.001392</v>
      </c>
      <c r="Q1638" t="n">
        <v>-80</v>
      </c>
      <c r="R1638" t="n">
        <v>0.04553</v>
      </c>
      <c r="S1638">
        <f>IMAGE("https://mitra.stanford.edu/kundaje/oak/projects/neuro-variants/variant_position/credible/roussos_2024/variant_figures/roussos_2024.childhood.GLU/rs56162163_count_position.png",4,220,900)</f>
        <v/>
      </c>
      <c r="T1638">
        <f>IMAGE("https://mitra.stanford.edu/kundaje/oak/projects/neuro-variants/variant_position/credible/roussos_2024/variant_figures/roussos_2024.childhood.GLU/rs56162163_profile_position.png",4,220,900)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-0.02372817252</v>
      </c>
      <c r="G1639" t="n">
        <v>0.4353842744894179</v>
      </c>
      <c r="H1639" t="n">
        <v>0.027578949135631</v>
      </c>
      <c r="I1639" t="n">
        <v>0.029639877912294</v>
      </c>
      <c r="J1639" t="n">
        <v>0.1386846199017173</v>
      </c>
      <c r="K1639" t="n">
        <v>0.2009434841118534</v>
      </c>
      <c r="L1639" t="b">
        <v>0</v>
      </c>
      <c r="M1639" t="b">
        <v>0</v>
      </c>
      <c r="N1639" t="inlineStr">
        <is>
          <t>ref</t>
        </is>
      </c>
      <c r="O1639" t="n">
        <v>-15</v>
      </c>
      <c r="P1639" t="n">
        <v>0.000908</v>
      </c>
      <c r="Q1639" t="n">
        <v>-15</v>
      </c>
      <c r="R1639" t="n">
        <v>0.05908</v>
      </c>
      <c r="S1639">
        <f>IMAGE("https://mitra.stanford.edu/kundaje/oak/projects/neuro-variants/variant_position/credible/roussos_2024/variant_figures/roussos_2024.childhood.GLU/rs56391096_count_position.png",4,220,900)</f>
        <v/>
      </c>
      <c r="T1639">
        <f>IMAGE("https://mitra.stanford.edu/kundaje/oak/projects/neuro-variants/variant_position/credible/roussos_2024/variant_figures/roussos_2024.childhood.GLU/rs56391096_profile_position.png",4,220,900)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0.00623117684</v>
      </c>
      <c r="G1640" t="n">
        <v>0.7597803480530164</v>
      </c>
      <c r="H1640" t="n">
        <v>0.0111628715292985</v>
      </c>
      <c r="I1640" t="n">
        <v>0.5288339176240109</v>
      </c>
      <c r="J1640" t="n">
        <v>0.1222506104031235</v>
      </c>
      <c r="K1640" t="n">
        <v>0.2221271546554625</v>
      </c>
      <c r="L1640" t="b">
        <v>0</v>
      </c>
      <c r="M1640" t="b">
        <v>0</v>
      </c>
      <c r="N1640" t="inlineStr">
        <is>
          <t>alt</t>
        </is>
      </c>
      <c r="O1640" t="n">
        <v>-100</v>
      </c>
      <c r="P1640" t="n">
        <v>0.01509</v>
      </c>
      <c r="Q1640" t="n">
        <v>100</v>
      </c>
      <c r="R1640" t="n">
        <v>0.2744</v>
      </c>
      <c r="S1640">
        <f>IMAGE("https://mitra.stanford.edu/kundaje/oak/projects/neuro-variants/variant_position/credible/roussos_2024/variant_figures/roussos_2024.childhood.GLU/rs62056872_count_position.png",4,220,900)</f>
        <v/>
      </c>
      <c r="T1640">
        <f>IMAGE("https://mitra.stanford.edu/kundaje/oak/projects/neuro-variants/variant_position/credible/roussos_2024/variant_figures/roussos_2024.childhood.GLU/rs62056872_profile_position.png",4,220,900)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0.038908814</v>
      </c>
      <c r="G1641" t="n">
        <v>0.2466174026227669</v>
      </c>
      <c r="H1641" t="n">
        <v>0.0147102576481185</v>
      </c>
      <c r="I1641" t="n">
        <v>0.2599863683804915</v>
      </c>
      <c r="J1641" t="n">
        <v>0.0818918891075236</v>
      </c>
      <c r="K1641" t="n">
        <v>0.2835305981876587</v>
      </c>
      <c r="L1641" t="b">
        <v>0</v>
      </c>
      <c r="M1641" t="b">
        <v>0</v>
      </c>
      <c r="N1641" t="inlineStr">
        <is>
          <t>alt</t>
        </is>
      </c>
      <c r="O1641" t="n">
        <v>-100</v>
      </c>
      <c r="P1641" t="n">
        <v>0.005684</v>
      </c>
      <c r="Q1641" t="n">
        <v>-100</v>
      </c>
      <c r="R1641" t="n">
        <v>0.1769</v>
      </c>
      <c r="S1641">
        <f>IMAGE("https://mitra.stanford.edu/kundaje/oak/projects/neuro-variants/variant_position/credible/roussos_2024/variant_figures/roussos_2024.childhood.GLU/rs12150608_count_position.png",4,220,900)</f>
        <v/>
      </c>
      <c r="T1641">
        <f>IMAGE("https://mitra.stanford.edu/kundaje/oak/projects/neuro-variants/variant_position/credible/roussos_2024/variant_figures/roussos_2024.childhood.GLU/rs12150608_profile_position.png",4,220,900)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0.0555756034</v>
      </c>
      <c r="G1642" t="n">
        <v>0.1444710316877009</v>
      </c>
      <c r="H1642" t="n">
        <v>0.0123911017701376</v>
      </c>
      <c r="I1642" t="n">
        <v>0.4165203033820706</v>
      </c>
      <c r="J1642" t="n">
        <v>0.0780131249549279</v>
      </c>
      <c r="K1642" t="n">
        <v>0.2913400590431699</v>
      </c>
      <c r="L1642" t="b">
        <v>0</v>
      </c>
      <c r="M1642" t="b">
        <v>0</v>
      </c>
      <c r="N1642" t="inlineStr">
        <is>
          <t>alt</t>
        </is>
      </c>
      <c r="O1642" t="n">
        <v>-100</v>
      </c>
      <c r="P1642" t="n">
        <v>0.00505</v>
      </c>
      <c r="Q1642" t="n">
        <v>-30</v>
      </c>
      <c r="R1642" t="n">
        <v>0.02777</v>
      </c>
      <c r="S1642">
        <f>IMAGE("https://mitra.stanford.edu/kundaje/oak/projects/neuro-variants/variant_position/credible/roussos_2024/variant_figures/roussos_2024.childhood.GLU/rs12150547_count_position.png",4,220,900)</f>
        <v/>
      </c>
      <c r="T1642">
        <f>IMAGE("https://mitra.stanford.edu/kundaje/oak/projects/neuro-variants/variant_position/credible/roussos_2024/variant_figures/roussos_2024.childhood.GLU/rs12150547_profile_position.png",4,220,900)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0.00925166968</v>
      </c>
      <c r="G1643" t="n">
        <v>0.5283844499084215</v>
      </c>
      <c r="H1643" t="n">
        <v>0.0172971250647993</v>
      </c>
      <c r="I1643" t="n">
        <v>0.1606817792640329</v>
      </c>
      <c r="J1643" t="n">
        <v>0.1171922486529922</v>
      </c>
      <c r="K1643" t="n">
        <v>0.2207901820578541</v>
      </c>
      <c r="L1643" t="b">
        <v>0</v>
      </c>
      <c r="M1643" t="b">
        <v>0</v>
      </c>
      <c r="N1643" t="inlineStr">
        <is>
          <t>alt</t>
        </is>
      </c>
      <c r="O1643" t="n">
        <v>35</v>
      </c>
      <c r="P1643" t="n">
        <v>0.000553</v>
      </c>
      <c r="Q1643" t="n">
        <v>35</v>
      </c>
      <c r="R1643" t="n">
        <v>0.03137</v>
      </c>
      <c r="S1643">
        <f>IMAGE("https://mitra.stanford.edu/kundaje/oak/projects/neuro-variants/variant_position/credible/roussos_2024/variant_figures/roussos_2024.childhood.GLU/rs62056874_count_position.png",4,220,900)</f>
        <v/>
      </c>
      <c r="T1643">
        <f>IMAGE("https://mitra.stanford.edu/kundaje/oak/projects/neuro-variants/variant_position/credible/roussos_2024/variant_figures/roussos_2024.childhood.GLU/rs62056874_profile_position.png",4,220,900)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-0.0216384194</v>
      </c>
      <c r="G1644" t="n">
        <v>0.4322002266694989</v>
      </c>
      <c r="H1644" t="n">
        <v>0.008540227693335701</v>
      </c>
      <c r="I1644" t="n">
        <v>0.8157654452552914</v>
      </c>
      <c r="J1644" t="n">
        <v>0.1787353065408428</v>
      </c>
      <c r="K1644" t="n">
        <v>0.1651219741303543</v>
      </c>
      <c r="L1644" t="b">
        <v>0</v>
      </c>
      <c r="M1644" t="b">
        <v>0</v>
      </c>
      <c r="N1644" t="inlineStr">
        <is>
          <t>ref</t>
        </is>
      </c>
      <c r="O1644" t="n">
        <v>-100</v>
      </c>
      <c r="P1644" t="n">
        <v>0.0241</v>
      </c>
      <c r="Q1644" t="n">
        <v>-95</v>
      </c>
      <c r="R1644" t="n">
        <v>0.1453</v>
      </c>
      <c r="S1644">
        <f>IMAGE("https://mitra.stanford.edu/kundaje/oak/projects/neuro-variants/variant_position/credible/roussos_2024/variant_figures/roussos_2024.childhood.GLU/rs17762308_count_position.png",4,220,900)</f>
        <v/>
      </c>
      <c r="T1644">
        <f>IMAGE("https://mitra.stanford.edu/kundaje/oak/projects/neuro-variants/variant_position/credible/roussos_2024/variant_figures/roussos_2024.childhood.GLU/rs17762308_profile_position.png",4,220,900)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-0.038560734</v>
      </c>
      <c r="G1645" t="n">
        <v>0.2200896605595215</v>
      </c>
      <c r="H1645" t="n">
        <v>0.0203361758757814</v>
      </c>
      <c r="I1645" t="n">
        <v>0.0966156797654435</v>
      </c>
      <c r="J1645" t="n">
        <v>0.1436832291097901</v>
      </c>
      <c r="K1645" t="n">
        <v>0.1963488577093692</v>
      </c>
      <c r="L1645" t="b">
        <v>0</v>
      </c>
      <c r="M1645" t="b">
        <v>0</v>
      </c>
      <c r="N1645" t="inlineStr">
        <is>
          <t>ref</t>
        </is>
      </c>
      <c r="O1645" t="n">
        <v>75</v>
      </c>
      <c r="P1645" t="n">
        <v>0.01117</v>
      </c>
      <c r="Q1645" t="n">
        <v>25</v>
      </c>
      <c r="R1645" t="n">
        <v>0.03009</v>
      </c>
      <c r="S1645">
        <f>IMAGE("https://mitra.stanford.edu/kundaje/oak/projects/neuro-variants/variant_position/credible/roussos_2024/variant_figures/roussos_2024.childhood.GLU/rs62056909_count_position.png",4,220,900)</f>
        <v/>
      </c>
      <c r="T1645">
        <f>IMAGE("https://mitra.stanford.edu/kundaje/oak/projects/neuro-variants/variant_position/credible/roussos_2024/variant_figures/roussos_2024.childhood.GLU/rs62056909_profile_position.png",4,220,900)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0.00453470792</v>
      </c>
      <c r="G1646" t="n">
        <v>0.7323290954870428</v>
      </c>
      <c r="H1646" t="n">
        <v>0.0123884882380919</v>
      </c>
      <c r="I1646" t="n">
        <v>0.419391022382435</v>
      </c>
      <c r="J1646" t="n">
        <v>0.1918149319542171</v>
      </c>
      <c r="K1646" t="n">
        <v>0.1554279385052414</v>
      </c>
      <c r="L1646" t="b">
        <v>0</v>
      </c>
      <c r="M1646" t="b">
        <v>0</v>
      </c>
      <c r="N1646" t="inlineStr">
        <is>
          <t>alt</t>
        </is>
      </c>
      <c r="O1646" t="n">
        <v>95</v>
      </c>
      <c r="P1646" t="n">
        <v>0.004227</v>
      </c>
      <c r="Q1646" t="n">
        <v>20</v>
      </c>
      <c r="R1646" t="n">
        <v>0.0501</v>
      </c>
      <c r="S1646">
        <f>IMAGE("https://mitra.stanford.edu/kundaje/oak/projects/neuro-variants/variant_position/credible/roussos_2024/variant_figures/roussos_2024.childhood.GLU/rs62056910_count_position.png",4,220,900)</f>
        <v/>
      </c>
      <c r="T1646">
        <f>IMAGE("https://mitra.stanford.edu/kundaje/oak/projects/neuro-variants/variant_position/credible/roussos_2024/variant_figures/roussos_2024.childhood.GLU/rs62056910_profile_position.png",4,220,900)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-0.0170350622</v>
      </c>
      <c r="G1647" t="n">
        <v>0.5139021239747052</v>
      </c>
      <c r="H1647" t="n">
        <v>0.008897536204763299</v>
      </c>
      <c r="I1647" t="n">
        <v>0.7827257617496478</v>
      </c>
      <c r="J1647" t="n">
        <v>0.1294950910196049</v>
      </c>
      <c r="K1647" t="n">
        <v>0.2085666190859422</v>
      </c>
      <c r="L1647" t="b">
        <v>0</v>
      </c>
      <c r="M1647" t="b">
        <v>0</v>
      </c>
      <c r="N1647" t="inlineStr">
        <is>
          <t>ref</t>
        </is>
      </c>
      <c r="O1647" t="n">
        <v>65</v>
      </c>
      <c r="P1647" t="n">
        <v>0.02185</v>
      </c>
      <c r="Q1647" t="n">
        <v>60</v>
      </c>
      <c r="R1647" t="n">
        <v>0.03146</v>
      </c>
      <c r="S1647">
        <f>IMAGE("https://mitra.stanford.edu/kundaje/oak/projects/neuro-variants/variant_position/credible/roussos_2024/variant_figures/roussos_2024.childhood.GLU/rs62056912_count_position.png",4,220,900)</f>
        <v/>
      </c>
      <c r="T1647">
        <f>IMAGE("https://mitra.stanford.edu/kundaje/oak/projects/neuro-variants/variant_position/credible/roussos_2024/variant_figures/roussos_2024.childhood.GLU/rs62056912_profile_position.png",4,220,900)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0.07893624940000001</v>
      </c>
      <c r="G1648" t="n">
        <v>0.0741248815409776</v>
      </c>
      <c r="H1648" t="n">
        <v>0.0130298784214127</v>
      </c>
      <c r="I1648" t="n">
        <v>0.3729318641750037</v>
      </c>
      <c r="J1648" t="n">
        <v>0.1533847754643699</v>
      </c>
      <c r="K1648" t="n">
        <v>0.1826741414977873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0.01855</v>
      </c>
      <c r="Q1648" t="n">
        <v>-85</v>
      </c>
      <c r="R1648" t="n">
        <v>0.1492</v>
      </c>
      <c r="S1648">
        <f>IMAGE("https://mitra.stanford.edu/kundaje/oak/projects/neuro-variants/variant_position/credible/roussos_2024/variant_figures/roussos_2024.childhood.GLU/rs61667602_count_position.png",4,220,900)</f>
        <v/>
      </c>
      <c r="T1648">
        <f>IMAGE("https://mitra.stanford.edu/kundaje/oak/projects/neuro-variants/variant_position/credible/roussos_2024/variant_figures/roussos_2024.childhood.GLU/rs61667602_profile_position.png",4,220,900)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-0.06153087384</v>
      </c>
      <c r="G1649" t="n">
        <v>0.2030309281534617</v>
      </c>
      <c r="H1649" t="n">
        <v>0.013567469738206</v>
      </c>
      <c r="I1649" t="n">
        <v>0.3618234509404069</v>
      </c>
      <c r="J1649" t="n">
        <v>0.3180679324590231</v>
      </c>
      <c r="K1649" t="n">
        <v>0.0901662001831039</v>
      </c>
      <c r="L1649" t="b">
        <v>0</v>
      </c>
      <c r="M1649" t="b">
        <v>0</v>
      </c>
      <c r="N1649" t="inlineStr">
        <is>
          <t>ref</t>
        </is>
      </c>
      <c r="O1649" t="n">
        <v>95</v>
      </c>
      <c r="P1649" t="n">
        <v>0.02396</v>
      </c>
      <c r="Q1649" t="n">
        <v>80</v>
      </c>
      <c r="R1649" t="n">
        <v>0.1284</v>
      </c>
      <c r="S1649">
        <f>IMAGE("https://mitra.stanford.edu/kundaje/oak/projects/neuro-variants/variant_position/credible/roussos_2024/variant_figures/roussos_2024.childhood.GLU/rs62056916_count_position.png",4,220,900)</f>
        <v/>
      </c>
      <c r="T1649">
        <f>IMAGE("https://mitra.stanford.edu/kundaje/oak/projects/neuro-variants/variant_position/credible/roussos_2024/variant_figures/roussos_2024.childhood.GLU/rs62056916_profile_position.png",4,220,900)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-0.00340818366</v>
      </c>
      <c r="G1650" t="n">
        <v>0.6891432237760048</v>
      </c>
      <c r="H1650" t="n">
        <v>0.0108629454114455</v>
      </c>
      <c r="I1650" t="n">
        <v>0.5604583579709028</v>
      </c>
      <c r="J1650" t="n">
        <v>0.3208330328535959</v>
      </c>
      <c r="K1650" t="n">
        <v>0.0891231148364309</v>
      </c>
      <c r="L1650" t="b">
        <v>0</v>
      </c>
      <c r="M1650" t="b">
        <v>0</v>
      </c>
      <c r="N1650" t="inlineStr">
        <is>
          <t>ref</t>
        </is>
      </c>
      <c r="O1650" t="n">
        <v>20</v>
      </c>
      <c r="P1650" t="n">
        <v>0.01569</v>
      </c>
      <c r="Q1650" t="n">
        <v>5</v>
      </c>
      <c r="R1650" t="n">
        <v>0.03613</v>
      </c>
      <c r="S1650">
        <f>IMAGE("https://mitra.stanford.edu/kundaje/oak/projects/neuro-variants/variant_position/credible/roussos_2024/variant_figures/roussos_2024.childhood.GLU/rs62056917_count_position.png",4,220,900)</f>
        <v/>
      </c>
      <c r="T1650">
        <f>IMAGE("https://mitra.stanford.edu/kundaje/oak/projects/neuro-variants/variant_position/credible/roussos_2024/variant_figures/roussos_2024.childhood.GLU/rs62056917_profile_position.png",4,220,900)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0.1120751079999999</v>
      </c>
      <c r="G1651" t="n">
        <v>0.0376128956416423</v>
      </c>
      <c r="H1651" t="n">
        <v>0.0146623820212016</v>
      </c>
      <c r="I1651" t="n">
        <v>0.2749297158457391</v>
      </c>
      <c r="J1651" t="n">
        <v>0.191481141891683</v>
      </c>
      <c r="K1651" t="n">
        <v>0.155667633927537</v>
      </c>
      <c r="L1651" t="b">
        <v>0</v>
      </c>
      <c r="M1651" t="b">
        <v>0</v>
      </c>
      <c r="N1651" t="inlineStr">
        <is>
          <t>alt</t>
        </is>
      </c>
      <c r="O1651" t="n">
        <v>95</v>
      </c>
      <c r="P1651" t="n">
        <v>0.005722</v>
      </c>
      <c r="Q1651" t="n">
        <v>-20</v>
      </c>
      <c r="R1651" t="n">
        <v>0.03735</v>
      </c>
      <c r="S1651">
        <f>IMAGE("https://mitra.stanford.edu/kundaje/oak/projects/neuro-variants/variant_position/credible/roussos_2024/variant_figures/roussos_2024.childhood.GLU/rs17762535_count_position.png",4,220,900)</f>
        <v/>
      </c>
      <c r="T1651">
        <f>IMAGE("https://mitra.stanford.edu/kundaje/oak/projects/neuro-variants/variant_position/credible/roussos_2024/variant_figures/roussos_2024.childhood.GLU/rs17762535_profile_position.png",4,220,900)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-0.1061067248</v>
      </c>
      <c r="G1652" t="n">
        <v>0.0393035469138128</v>
      </c>
      <c r="H1652" t="n">
        <v>0.0190300302278826</v>
      </c>
      <c r="I1652" t="n">
        <v>0.1175437061746905</v>
      </c>
      <c r="J1652" t="n">
        <v>0.1706141119020882</v>
      </c>
      <c r="K1652" t="n">
        <v>0.173240564459025</v>
      </c>
      <c r="L1652" t="b">
        <v>0</v>
      </c>
      <c r="M1652" t="b">
        <v>0</v>
      </c>
      <c r="N1652" t="inlineStr">
        <is>
          <t>ref</t>
        </is>
      </c>
      <c r="O1652" t="n">
        <v>50</v>
      </c>
      <c r="P1652" t="n">
        <v>0.0001373</v>
      </c>
      <c r="Q1652" t="n">
        <v>0</v>
      </c>
      <c r="R1652" t="n">
        <v>0</v>
      </c>
      <c r="S1652">
        <f>IMAGE("https://mitra.stanford.edu/kundaje/oak/projects/neuro-variants/variant_position/credible/roussos_2024/variant_figures/roussos_2024.childhood.GLU/rs62056920_count_position.png",4,220,900)</f>
        <v/>
      </c>
      <c r="T1652">
        <f>IMAGE("https://mitra.stanford.edu/kundaje/oak/projects/neuro-variants/variant_position/credible/roussos_2024/variant_figures/roussos_2024.childhood.GLU/rs62056920_profile_position.png",4,220,900)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0.0261171877999999</v>
      </c>
      <c r="G1653" t="n">
        <v>0.367273940733062</v>
      </c>
      <c r="H1653" t="n">
        <v>0.0303072333800695</v>
      </c>
      <c r="I1653" t="n">
        <v>0.0216171408469773</v>
      </c>
      <c r="J1653" t="n">
        <v>0.0301688524421275</v>
      </c>
      <c r="K1653" t="n">
        <v>0.4340861473631144</v>
      </c>
      <c r="L1653" t="b">
        <v>0</v>
      </c>
      <c r="M1653" t="b">
        <v>0</v>
      </c>
      <c r="N1653" t="inlineStr">
        <is>
          <t>alt</t>
        </is>
      </c>
      <c r="O1653" t="n">
        <v>65</v>
      </c>
      <c r="P1653" t="n">
        <v>0.00531</v>
      </c>
      <c r="Q1653" t="n">
        <v>100</v>
      </c>
      <c r="R1653" t="n">
        <v>0.0625</v>
      </c>
      <c r="S1653">
        <f>IMAGE("https://mitra.stanford.edu/kundaje/oak/projects/neuro-variants/variant_position/credible/roussos_2024/variant_figures/roussos_2024.childhood.GLU/rs55973918_count_position.png",4,220,900)</f>
        <v/>
      </c>
      <c r="T1653">
        <f>IMAGE("https://mitra.stanford.edu/kundaje/oak/projects/neuro-variants/variant_position/credible/roussos_2024/variant_figures/roussos_2024.childhood.GLU/rs55973918_profile_position.png",4,220,900)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-0.0283660738</v>
      </c>
      <c r="G1654" t="n">
        <v>0.3060411677332079</v>
      </c>
      <c r="H1654" t="n">
        <v>0.0126065806105704</v>
      </c>
      <c r="I1654" t="n">
        <v>0.419617219653921</v>
      </c>
      <c r="J1654" t="n">
        <v>0.2840574036490259</v>
      </c>
      <c r="K1654" t="n">
        <v>0.1033358778506754</v>
      </c>
      <c r="L1654" t="b">
        <v>0</v>
      </c>
      <c r="M1654" t="b">
        <v>0</v>
      </c>
      <c r="N1654" t="inlineStr">
        <is>
          <t>ref</t>
        </is>
      </c>
      <c r="O1654" t="n">
        <v>-40</v>
      </c>
      <c r="P1654" t="n">
        <v>0.001701</v>
      </c>
      <c r="Q1654" t="n">
        <v>100</v>
      </c>
      <c r="R1654" t="n">
        <v>0.2598</v>
      </c>
      <c r="S1654">
        <f>IMAGE("https://mitra.stanford.edu/kundaje/oak/projects/neuro-variants/variant_position/credible/roussos_2024/variant_figures/roussos_2024.childhood.GLU/rs7502937_count_position.png",4,220,900)</f>
        <v/>
      </c>
      <c r="T1654">
        <f>IMAGE("https://mitra.stanford.edu/kundaje/oak/projects/neuro-variants/variant_position/credible/roussos_2024/variant_figures/roussos_2024.childhood.GLU/rs7502937_profile_position.png",4,220,900)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-0.050706503</v>
      </c>
      <c r="G1655" t="n">
        <v>0.1867737844817241</v>
      </c>
      <c r="H1655" t="n">
        <v>0.0102706148795028</v>
      </c>
      <c r="I1655" t="n">
        <v>0.6160025306334623</v>
      </c>
      <c r="J1655" t="n">
        <v>0.305359184892909</v>
      </c>
      <c r="K1655" t="n">
        <v>0.0947928941160331</v>
      </c>
      <c r="L1655" t="b">
        <v>0</v>
      </c>
      <c r="M1655" t="b">
        <v>0</v>
      </c>
      <c r="N1655" t="inlineStr">
        <is>
          <t>ref</t>
        </is>
      </c>
      <c r="O1655" t="n">
        <v>50</v>
      </c>
      <c r="P1655" t="n">
        <v>0.01402</v>
      </c>
      <c r="Q1655" t="n">
        <v>55</v>
      </c>
      <c r="R1655" t="n">
        <v>0.01318</v>
      </c>
      <c r="S1655">
        <f>IMAGE("https://mitra.stanford.edu/kundaje/oak/projects/neuro-variants/variant_position/credible/roussos_2024/variant_figures/roussos_2024.childhood.GLU/rs75310534_count_position.png",4,220,900)</f>
        <v/>
      </c>
      <c r="T1655">
        <f>IMAGE("https://mitra.stanford.edu/kundaje/oak/projects/neuro-variants/variant_position/credible/roussos_2024/variant_figures/roussos_2024.childhood.GLU/rs75310534_profile_position.png",4,220,900)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0.0941877002</v>
      </c>
      <c r="G1656" t="n">
        <v>0.0520557109922108</v>
      </c>
      <c r="H1656" t="n">
        <v>0.0384110086280379</v>
      </c>
      <c r="I1656" t="n">
        <v>0.008165029971063199</v>
      </c>
      <c r="J1656" t="n">
        <v>0.0077070477093141</v>
      </c>
      <c r="K1656" t="n">
        <v>0.6227161227098226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0.0506</v>
      </c>
      <c r="Q1656" t="n">
        <v>70</v>
      </c>
      <c r="R1656" t="n">
        <v>0.0752</v>
      </c>
      <c r="S1656">
        <f>IMAGE("https://mitra.stanford.edu/kundaje/oak/projects/neuro-variants/variant_position/credible/roussos_2024/variant_figures/roussos_2024.childhood.GLU/rs111415173_count_position.png",4,220,900)</f>
        <v/>
      </c>
      <c r="T1656">
        <f>IMAGE("https://mitra.stanford.edu/kundaje/oak/projects/neuro-variants/variant_position/credible/roussos_2024/variant_figures/roussos_2024.childhood.GLU/rs111415173_profile_position.png",4,220,900)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-0.0974245239999999</v>
      </c>
      <c r="G1657" t="n">
        <v>0.0496423845752012</v>
      </c>
      <c r="H1657" t="n">
        <v>0.0175461473309746</v>
      </c>
      <c r="I1657" t="n">
        <v>0.150977408186814</v>
      </c>
      <c r="J1657" t="n">
        <v>0.00667477103444</v>
      </c>
      <c r="K1657" t="n">
        <v>0.6379842171215827</v>
      </c>
      <c r="L1657" t="b">
        <v>0</v>
      </c>
      <c r="M1657" t="b">
        <v>0</v>
      </c>
      <c r="N1657" t="inlineStr">
        <is>
          <t>ref</t>
        </is>
      </c>
      <c r="O1657" t="n">
        <v>70</v>
      </c>
      <c r="P1657" t="n">
        <v>0.003082</v>
      </c>
      <c r="Q1657" t="n">
        <v>100</v>
      </c>
      <c r="R1657" t="n">
        <v>0.05652</v>
      </c>
      <c r="S1657">
        <f>IMAGE("https://mitra.stanford.edu/kundaje/oak/projects/neuro-variants/variant_position/credible/roussos_2024/variant_figures/roussos_2024.childhood.GLU/rs113991678_count_position.png",4,220,900)</f>
        <v/>
      </c>
      <c r="T1657">
        <f>IMAGE("https://mitra.stanford.edu/kundaje/oak/projects/neuro-variants/variant_position/credible/roussos_2024/variant_figures/roussos_2024.childhood.GLU/rs113991678_profile_position.png",4,220,900)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0.211144588</v>
      </c>
      <c r="G1658" t="n">
        <v>0.0075689825330267</v>
      </c>
      <c r="H1658" t="n">
        <v>0.0379228637831137</v>
      </c>
      <c r="I1658" t="n">
        <v>0.0097349902413113</v>
      </c>
      <c r="J1658" t="n">
        <v>0.0773774815333738</v>
      </c>
      <c r="K1658" t="n">
        <v>0.2843697827678007</v>
      </c>
      <c r="L1658" t="b">
        <v>1</v>
      </c>
      <c r="M1658" t="b">
        <v>1</v>
      </c>
      <c r="N1658" t="inlineStr">
        <is>
          <t>alt</t>
        </is>
      </c>
      <c r="O1658" t="n">
        <v>90</v>
      </c>
      <c r="P1658" t="n">
        <v>0.003635</v>
      </c>
      <c r="Q1658" t="n">
        <v>100</v>
      </c>
      <c r="R1658" t="n">
        <v>0.01401</v>
      </c>
      <c r="S1658">
        <f>IMAGE("https://mitra.stanford.edu/kundaje/oak/projects/neuro-variants/variant_position/credible/roussos_2024/variant_figures/roussos_2024.childhood.GLU/rs55838058_count_position.png",4,220,900)</f>
        <v/>
      </c>
      <c r="T1658">
        <f>IMAGE("https://mitra.stanford.edu/kundaje/oak/projects/neuro-variants/variant_position/credible/roussos_2024/variant_figures/roussos_2024.childhood.GLU/rs55838058_profile_position.png",4,220,900)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0.0316594998</v>
      </c>
      <c r="G1659" t="n">
        <v>0.320973469104135</v>
      </c>
      <c r="H1659" t="n">
        <v>0.0304910623140843</v>
      </c>
      <c r="I1659" t="n">
        <v>0.0215216162782934</v>
      </c>
      <c r="J1659" t="n">
        <v>0.4210792545355269</v>
      </c>
      <c r="K1659" t="n">
        <v>0.0586947455144025</v>
      </c>
      <c r="L1659" t="b">
        <v>0</v>
      </c>
      <c r="M1659" t="b">
        <v>0</v>
      </c>
      <c r="N1659" t="inlineStr">
        <is>
          <t>alt</t>
        </is>
      </c>
      <c r="O1659" t="n">
        <v>85</v>
      </c>
      <c r="P1659" t="n">
        <v>0.01495</v>
      </c>
      <c r="Q1659" t="n">
        <v>100</v>
      </c>
      <c r="R1659" t="n">
        <v>0.1975</v>
      </c>
      <c r="S1659">
        <f>IMAGE("https://mitra.stanford.edu/kundaje/oak/projects/neuro-variants/variant_position/credible/roussos_2024/variant_figures/roussos_2024.childhood.GLU/rs62054378_count_position.png",4,220,900)</f>
        <v/>
      </c>
      <c r="T1659">
        <f>IMAGE("https://mitra.stanford.edu/kundaje/oak/projects/neuro-variants/variant_position/credible/roussos_2024/variant_figures/roussos_2024.childhood.GLU/rs62054378_profile_position.png",4,220,900)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-0.01845232536</v>
      </c>
      <c r="G1660" t="n">
        <v>0.3164492106236586</v>
      </c>
      <c r="H1660" t="n">
        <v>0.0136439696006835</v>
      </c>
      <c r="I1660" t="n">
        <v>0.3323431217454174</v>
      </c>
      <c r="J1660" t="n">
        <v>0.3796192320768129</v>
      </c>
      <c r="K1660" t="n">
        <v>0.0697297373247194</v>
      </c>
      <c r="L1660" t="b">
        <v>0</v>
      </c>
      <c r="M1660" t="b">
        <v>0</v>
      </c>
      <c r="N1660" t="inlineStr">
        <is>
          <t>ref</t>
        </is>
      </c>
      <c r="O1660" t="n">
        <v>40</v>
      </c>
      <c r="P1660" t="n">
        <v>0.009950000000000001</v>
      </c>
      <c r="Q1660" t="n">
        <v>40</v>
      </c>
      <c r="R1660" t="n">
        <v>0.0674</v>
      </c>
      <c r="S1660">
        <f>IMAGE("https://mitra.stanford.edu/kundaje/oak/projects/neuro-variants/variant_position/credible/roussos_2024/variant_figures/roussos_2024.childhood.GLU/rs77819001_count_position.png",4,220,900)</f>
        <v/>
      </c>
      <c r="T1660">
        <f>IMAGE("https://mitra.stanford.edu/kundaje/oak/projects/neuro-variants/variant_position/credible/roussos_2024/variant_figures/roussos_2024.childhood.GLU/rs77819001_profile_position.png",4,220,900)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-0.1490484308</v>
      </c>
      <c r="G1661" t="n">
        <v>0.0241298666913148</v>
      </c>
      <c r="H1661" t="n">
        <v>0.046128805173576</v>
      </c>
      <c r="I1661" t="n">
        <v>0.0048551090652064</v>
      </c>
      <c r="J1661" t="n">
        <v>0.3731793503456375</v>
      </c>
      <c r="K1661" t="n">
        <v>0.07150743262369449</v>
      </c>
      <c r="L1661" t="b">
        <v>1</v>
      </c>
      <c r="M1661" t="b">
        <v>1</v>
      </c>
      <c r="N1661" t="inlineStr">
        <is>
          <t>ref</t>
        </is>
      </c>
      <c r="O1661" t="n">
        <v>35</v>
      </c>
      <c r="P1661" t="n">
        <v>0.009705</v>
      </c>
      <c r="Q1661" t="n">
        <v>35</v>
      </c>
      <c r="R1661" t="n">
        <v>0.05176</v>
      </c>
      <c r="S1661">
        <f>IMAGE("https://mitra.stanford.edu/kundaje/oak/projects/neuro-variants/variant_position/credible/roussos_2024/variant_figures/roussos_2024.childhood.GLU/rs76667867_count_position.png",4,220,900)</f>
        <v/>
      </c>
      <c r="T1661">
        <f>IMAGE("https://mitra.stanford.edu/kundaje/oak/projects/neuro-variants/variant_position/credible/roussos_2024/variant_figures/roussos_2024.childhood.GLU/rs76667867_profile_position.png",4,220,900)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-0.0634808784</v>
      </c>
      <c r="G1662" t="n">
        <v>0.1211882086076498</v>
      </c>
      <c r="H1662" t="n">
        <v>0.0197974926713742</v>
      </c>
      <c r="I1662" t="n">
        <v>0.1079999803440556</v>
      </c>
      <c r="J1662" t="n">
        <v>0.0403494493494184</v>
      </c>
      <c r="K1662" t="n">
        <v>0.4006968704537559</v>
      </c>
      <c r="L1662" t="b">
        <v>0</v>
      </c>
      <c r="M1662" t="b">
        <v>0</v>
      </c>
      <c r="N1662" t="inlineStr">
        <is>
          <t>ref</t>
        </is>
      </c>
      <c r="O1662" t="n">
        <v>85</v>
      </c>
      <c r="P1662" t="n">
        <v>0.0184</v>
      </c>
      <c r="Q1662" t="n">
        <v>90</v>
      </c>
      <c r="R1662" t="n">
        <v>0.1527</v>
      </c>
      <c r="S1662">
        <f>IMAGE("https://mitra.stanford.edu/kundaje/oak/projects/neuro-variants/variant_position/credible/roussos_2024/variant_figures/roussos_2024.childhood.GLU/rs62054381_count_position.png",4,220,900)</f>
        <v/>
      </c>
      <c r="T1662">
        <f>IMAGE("https://mitra.stanford.edu/kundaje/oak/projects/neuro-variants/variant_position/credible/roussos_2024/variant_figures/roussos_2024.childhood.GLU/rs62054381_profile_position.png",4,220,900)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0.194044904</v>
      </c>
      <c r="G1663" t="n">
        <v>0.0086035987240165</v>
      </c>
      <c r="H1663" t="n">
        <v>0.0273614492974831</v>
      </c>
      <c r="I1663" t="n">
        <v>0.0314001366972795</v>
      </c>
      <c r="J1663" t="n">
        <v>0.0408820711467336</v>
      </c>
      <c r="K1663" t="n">
        <v>0.3791365526147193</v>
      </c>
      <c r="L1663" t="b">
        <v>1</v>
      </c>
      <c r="M1663" t="b">
        <v>1</v>
      </c>
      <c r="N1663" t="inlineStr">
        <is>
          <t>alt</t>
        </is>
      </c>
      <c r="O1663" t="n">
        <v>-35</v>
      </c>
      <c r="P1663" t="n">
        <v>0.002583</v>
      </c>
      <c r="Q1663" t="n">
        <v>80</v>
      </c>
      <c r="R1663" t="n">
        <v>0.1226</v>
      </c>
      <c r="S1663">
        <f>IMAGE("https://mitra.stanford.edu/kundaje/oak/projects/neuro-variants/variant_position/credible/roussos_2024/variant_figures/roussos_2024.childhood.GLU/rs62054383_count_position.png",4,220,900)</f>
        <v/>
      </c>
      <c r="T1663">
        <f>IMAGE("https://mitra.stanford.edu/kundaje/oak/projects/neuro-variants/variant_position/credible/roussos_2024/variant_figures/roussos_2024.childhood.GLU/rs62054383_profile_position.png",4,220,900)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-0.0593095596</v>
      </c>
      <c r="G1664" t="n">
        <v>0.1446920205804043</v>
      </c>
      <c r="H1664" t="n">
        <v>0.0113156601042029</v>
      </c>
      <c r="I1664" t="n">
        <v>0.5164131426807791</v>
      </c>
      <c r="J1664" t="n">
        <v>0.1634592600986947</v>
      </c>
      <c r="K1664" t="n">
        <v>0.1759921875032903</v>
      </c>
      <c r="L1664" t="b">
        <v>0</v>
      </c>
      <c r="M1664" t="b">
        <v>0</v>
      </c>
      <c r="N1664" t="inlineStr">
        <is>
          <t>ref</t>
        </is>
      </c>
      <c r="O1664" t="n">
        <v>100</v>
      </c>
      <c r="P1664" t="n">
        <v>0.00784</v>
      </c>
      <c r="Q1664" t="n">
        <v>100</v>
      </c>
      <c r="R1664" t="n">
        <v>0.1443</v>
      </c>
      <c r="S1664">
        <f>IMAGE("https://mitra.stanford.edu/kundaje/oak/projects/neuro-variants/variant_position/credible/roussos_2024/variant_figures/roussos_2024.childhood.GLU/rs56380663_count_position.png",4,220,900)</f>
        <v/>
      </c>
      <c r="T1664">
        <f>IMAGE("https://mitra.stanford.edu/kundaje/oak/projects/neuro-variants/variant_position/credible/roussos_2024/variant_figures/roussos_2024.childhood.GLU/rs56380663_profile_position.png",4,220,900)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-0.0812893689999999</v>
      </c>
      <c r="G1665" t="n">
        <v>0.1185666398153258</v>
      </c>
      <c r="H1665" t="n">
        <v>0.0225313031926422</v>
      </c>
      <c r="I1665" t="n">
        <v>0.1036559628431187</v>
      </c>
      <c r="J1665" t="n">
        <v>0.1280136400630492</v>
      </c>
      <c r="K1665" t="n">
        <v>0.2083376260897418</v>
      </c>
      <c r="L1665" t="b">
        <v>0</v>
      </c>
      <c r="M1665" t="b">
        <v>0</v>
      </c>
      <c r="N1665" t="inlineStr">
        <is>
          <t>ref</t>
        </is>
      </c>
      <c r="O1665" t="n">
        <v>-95</v>
      </c>
      <c r="P1665" t="n">
        <v>0.013084</v>
      </c>
      <c r="Q1665" t="n">
        <v>-100</v>
      </c>
      <c r="R1665" t="n">
        <v>0.1582</v>
      </c>
      <c r="S1665">
        <f>IMAGE("https://mitra.stanford.edu/kundaje/oak/projects/neuro-variants/variant_position/credible/roussos_2024/variant_figures/roussos_2024.childhood.GLU/rs62054388_count_position.png",4,220,900)</f>
        <v/>
      </c>
      <c r="T1665">
        <f>IMAGE("https://mitra.stanford.edu/kundaje/oak/projects/neuro-variants/variant_position/credible/roussos_2024/variant_figures/roussos_2024.childhood.GLU/rs62054388_profile_position.png",4,220,900)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-0.0365123088</v>
      </c>
      <c r="G1666" t="n">
        <v>0.2965486832281428</v>
      </c>
      <c r="H1666" t="n">
        <v>0.0119185599490061</v>
      </c>
      <c r="I1666" t="n">
        <v>0.455605558613705</v>
      </c>
      <c r="J1666" t="n">
        <v>0.1471323930893094</v>
      </c>
      <c r="K1666" t="n">
        <v>0.1885554375093146</v>
      </c>
      <c r="L1666" t="b">
        <v>0</v>
      </c>
      <c r="M1666" t="b">
        <v>0</v>
      </c>
      <c r="N1666" t="inlineStr">
        <is>
          <t>ref</t>
        </is>
      </c>
      <c r="O1666" t="n">
        <v>90</v>
      </c>
      <c r="P1666" t="n">
        <v>0.00209</v>
      </c>
      <c r="Q1666" t="n">
        <v>-85</v>
      </c>
      <c r="R1666" t="n">
        <v>0.0431</v>
      </c>
      <c r="S1666">
        <f>IMAGE("https://mitra.stanford.edu/kundaje/oak/projects/neuro-variants/variant_position/credible/roussos_2024/variant_figures/roussos_2024.childhood.GLU/rs4401083_count_position.png",4,220,900)</f>
        <v/>
      </c>
      <c r="T1666">
        <f>IMAGE("https://mitra.stanford.edu/kundaje/oak/projects/neuro-variants/variant_position/credible/roussos_2024/variant_figures/roussos_2024.childhood.GLU/rs4401083_profile_position.png",4,220,900)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-0.0411561489999999</v>
      </c>
      <c r="G1667" t="n">
        <v>0.2376150367971387</v>
      </c>
      <c r="H1667" t="n">
        <v>0.0105126343098458</v>
      </c>
      <c r="I1667" t="n">
        <v>0.5630894371359667</v>
      </c>
      <c r="J1667" t="n">
        <v>0.2764657401588593</v>
      </c>
      <c r="K1667" t="n">
        <v>0.1065979673999729</v>
      </c>
      <c r="L1667" t="b">
        <v>0</v>
      </c>
      <c r="M1667" t="b">
        <v>0</v>
      </c>
      <c r="N1667" t="inlineStr">
        <is>
          <t>ref</t>
        </is>
      </c>
      <c r="O1667" t="n">
        <v>55</v>
      </c>
      <c r="P1667" t="n">
        <v>0.00624</v>
      </c>
      <c r="Q1667" t="n">
        <v>30</v>
      </c>
      <c r="R1667" t="n">
        <v>0.0548</v>
      </c>
      <c r="S1667">
        <f>IMAGE("https://mitra.stanford.edu/kundaje/oak/projects/neuro-variants/variant_position/credible/roussos_2024/variant_figures/roussos_2024.childhood.GLU/rs1880752_count_position.png",4,220,900)</f>
        <v/>
      </c>
      <c r="T1667">
        <f>IMAGE("https://mitra.stanford.edu/kundaje/oak/projects/neuro-variants/variant_position/credible/roussos_2024/variant_figures/roussos_2024.childhood.GLU/rs1880752_profile_position.png",4,220,900)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-0.337277688</v>
      </c>
      <c r="G1668" t="n">
        <v>0.0014219159070379</v>
      </c>
      <c r="H1668" t="n">
        <v>0.06588368663011659</v>
      </c>
      <c r="I1668" t="n">
        <v>0.0009803480260608</v>
      </c>
      <c r="J1668" t="n">
        <v>0.5830807586512409</v>
      </c>
      <c r="K1668" t="n">
        <v>0.0288870200826695</v>
      </c>
      <c r="L1668" t="b">
        <v>1</v>
      </c>
      <c r="M1668" t="b">
        <v>1</v>
      </c>
      <c r="N1668" t="inlineStr">
        <is>
          <t>ref</t>
        </is>
      </c>
      <c r="O1668" t="n">
        <v>-85</v>
      </c>
      <c r="P1668" t="n">
        <v>0.01204</v>
      </c>
      <c r="Q1668" t="n">
        <v>-80</v>
      </c>
      <c r="R1668" t="n">
        <v>0.1924</v>
      </c>
      <c r="S1668">
        <f>IMAGE("https://mitra.stanford.edu/kundaje/oak/projects/neuro-variants/variant_position/credible/roussos_2024/variant_figures/roussos_2024.childhood.GLU/rs2864087_count_position.png",4,220,900)</f>
        <v/>
      </c>
      <c r="T1668">
        <f>IMAGE("https://mitra.stanford.edu/kundaje/oak/projects/neuro-variants/variant_position/credible/roussos_2024/variant_figures/roussos_2024.childhood.GLU/rs2864087_profile_position.png",4,220,900)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-0.41519216</v>
      </c>
      <c r="G1669" t="n">
        <v>0.0006965965888101</v>
      </c>
      <c r="H1669" t="n">
        <v>0.0564796608470422</v>
      </c>
      <c r="I1669" t="n">
        <v>0.0021694194856444</v>
      </c>
      <c r="J1669" t="n">
        <v>0.5771065346616255</v>
      </c>
      <c r="K1669" t="n">
        <v>0.0297654127790012</v>
      </c>
      <c r="L1669" t="b">
        <v>1</v>
      </c>
      <c r="M1669" t="b">
        <v>1</v>
      </c>
      <c r="N1669" t="inlineStr">
        <is>
          <t>ref</t>
        </is>
      </c>
      <c r="O1669" t="n">
        <v>-100</v>
      </c>
      <c r="P1669" t="n">
        <v>0.007446</v>
      </c>
      <c r="Q1669" t="n">
        <v>40</v>
      </c>
      <c r="R1669" t="n">
        <v>0.0696</v>
      </c>
      <c r="S1669">
        <f>IMAGE("https://mitra.stanford.edu/kundaje/oak/projects/neuro-variants/variant_position/credible/roussos_2024/variant_figures/roussos_2024.childhood.GLU/rs4609899_count_position.png",4,220,900)</f>
        <v/>
      </c>
      <c r="T1669">
        <f>IMAGE("https://mitra.stanford.edu/kundaje/oak/projects/neuro-variants/variant_position/credible/roussos_2024/variant_figures/roussos_2024.childhood.GLU/rs4609899_profile_position.png",4,220,900)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0.00455405292</v>
      </c>
      <c r="G1670" t="n">
        <v>0.765790955077137</v>
      </c>
      <c r="H1670" t="n">
        <v>0.011093882249965</v>
      </c>
      <c r="I1670" t="n">
        <v>0.5469575645538144</v>
      </c>
      <c r="J1670" t="n">
        <v>0.0080161125820309</v>
      </c>
      <c r="K1670" t="n">
        <v>0.6319933544201286</v>
      </c>
      <c r="L1670" t="b">
        <v>0</v>
      </c>
      <c r="M1670" t="b">
        <v>0</v>
      </c>
      <c r="N1670" t="inlineStr">
        <is>
          <t>alt</t>
        </is>
      </c>
      <c r="O1670" t="n">
        <v>55</v>
      </c>
      <c r="P1670" t="n">
        <v>0.002338</v>
      </c>
      <c r="Q1670" t="n">
        <v>-65</v>
      </c>
      <c r="R1670" t="n">
        <v>0.0406</v>
      </c>
      <c r="S1670">
        <f>IMAGE("https://mitra.stanford.edu/kundaje/oak/projects/neuro-variants/variant_position/credible/roussos_2024/variant_figures/roussos_2024.childhood.GLU/rs62054393_count_position.png",4,220,900)</f>
        <v/>
      </c>
      <c r="T1670">
        <f>IMAGE("https://mitra.stanford.edu/kundaje/oak/projects/neuro-variants/variant_position/credible/roussos_2024/variant_figures/roussos_2024.childhood.GLU/rs62054393_profile_position.png",4,220,900)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0.0410508298</v>
      </c>
      <c r="G1671" t="n">
        <v>0.2270262267583633</v>
      </c>
      <c r="H1671" t="n">
        <v>0.0182648317709867</v>
      </c>
      <c r="I1671" t="n">
        <v>0.1354736571961034</v>
      </c>
      <c r="J1671" t="n">
        <v>0.1279064975738407</v>
      </c>
      <c r="K1671" t="n">
        <v>0.2120669398496639</v>
      </c>
      <c r="L1671" t="b">
        <v>0</v>
      </c>
      <c r="M1671" t="b">
        <v>0</v>
      </c>
      <c r="N1671" t="inlineStr">
        <is>
          <t>alt</t>
        </is>
      </c>
      <c r="O1671" t="n">
        <v>80</v>
      </c>
      <c r="P1671" t="n">
        <v>0.04514</v>
      </c>
      <c r="Q1671" t="n">
        <v>100</v>
      </c>
      <c r="R1671" t="n">
        <v>0.04224</v>
      </c>
      <c r="S1671">
        <f>IMAGE("https://mitra.stanford.edu/kundaje/oak/projects/neuro-variants/variant_position/credible/roussos_2024/variant_figures/roussos_2024.childhood.GLU/rs113790915_count_position.png",4,220,900)</f>
        <v/>
      </c>
      <c r="T1671">
        <f>IMAGE("https://mitra.stanford.edu/kundaje/oak/projects/neuro-variants/variant_position/credible/roussos_2024/variant_figures/roussos_2024.childhood.GLU/rs113790915_profile_position.png",4,220,900)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0.14131464</v>
      </c>
      <c r="G1672" t="n">
        <v>0.0222576839302338</v>
      </c>
      <c r="H1672" t="n">
        <v>0.0359782522553872</v>
      </c>
      <c r="I1672" t="n">
        <v>0.012111044150084</v>
      </c>
      <c r="J1672" t="n">
        <v>0.1456117939155428</v>
      </c>
      <c r="K1672" t="n">
        <v>0.1935262553549934</v>
      </c>
      <c r="L1672" t="b">
        <v>1</v>
      </c>
      <c r="M1672" t="b">
        <v>0</v>
      </c>
      <c r="N1672" t="inlineStr">
        <is>
          <t>alt</t>
        </is>
      </c>
      <c r="O1672" t="n">
        <v>-10</v>
      </c>
      <c r="P1672" t="n">
        <v>0.001648</v>
      </c>
      <c r="Q1672" t="n">
        <v>15</v>
      </c>
      <c r="R1672" t="n">
        <v>0.01782</v>
      </c>
      <c r="S1672">
        <f>IMAGE("https://mitra.stanford.edu/kundaje/oak/projects/neuro-variants/variant_position/credible/roussos_2024/variant_figures/roussos_2024.childhood.GLU/rs75022332_count_position.png",4,220,900)</f>
        <v/>
      </c>
      <c r="T1672">
        <f>IMAGE("https://mitra.stanford.edu/kundaje/oak/projects/neuro-variants/variant_position/credible/roussos_2024/variant_figures/roussos_2024.childhood.GLU/rs75022332_profile_position.png",4,220,900)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-0.054867842</v>
      </c>
      <c r="G1673" t="n">
        <v>0.1526382216182608</v>
      </c>
      <c r="H1673" t="n">
        <v>0.0147251137852446</v>
      </c>
      <c r="I1673" t="n">
        <v>0.2620187023082785</v>
      </c>
      <c r="J1673" t="n">
        <v>0.103869492206414</v>
      </c>
      <c r="K1673" t="n">
        <v>0.2439851778568895</v>
      </c>
      <c r="L1673" t="b">
        <v>0</v>
      </c>
      <c r="M1673" t="b">
        <v>0</v>
      </c>
      <c r="N1673" t="inlineStr">
        <is>
          <t>ref</t>
        </is>
      </c>
      <c r="O1673" t="n">
        <v>10</v>
      </c>
      <c r="P1673" t="n">
        <v>0.001068</v>
      </c>
      <c r="Q1673" t="n">
        <v>-5</v>
      </c>
      <c r="R1673" t="n">
        <v>0.012695</v>
      </c>
      <c r="S1673">
        <f>IMAGE("https://mitra.stanford.edu/kundaje/oak/projects/neuro-variants/variant_position/credible/roussos_2024/variant_figures/roussos_2024.childhood.GLU/rs77804065_count_position.png",4,220,900)</f>
        <v/>
      </c>
      <c r="T1673">
        <f>IMAGE("https://mitra.stanford.edu/kundaje/oak/projects/neuro-variants/variant_position/credible/roussos_2024/variant_figures/roussos_2024.childhood.GLU/rs77804065_profile_position.png",4,220,900)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-0.0512366466</v>
      </c>
      <c r="G1674" t="n">
        <v>0.1815871596692769</v>
      </c>
      <c r="H1674" t="n">
        <v>0.021620674692637</v>
      </c>
      <c r="I1674" t="n">
        <v>0.0737974598774794</v>
      </c>
      <c r="J1674" t="n">
        <v>0.0077822534950085</v>
      </c>
      <c r="K1674" t="n">
        <v>0.6458556839511294</v>
      </c>
      <c r="L1674" t="b">
        <v>0</v>
      </c>
      <c r="M1674" t="b">
        <v>0</v>
      </c>
      <c r="N1674" t="inlineStr">
        <is>
          <t>ref</t>
        </is>
      </c>
      <c r="O1674" t="n">
        <v>100</v>
      </c>
      <c r="P1674" t="n">
        <v>0.02646</v>
      </c>
      <c r="Q1674" t="n">
        <v>-15</v>
      </c>
      <c r="R1674" t="n">
        <v>0.01945</v>
      </c>
      <c r="S1674">
        <f>IMAGE("https://mitra.stanford.edu/kundaje/oak/projects/neuro-variants/variant_position/credible/roussos_2024/variant_figures/roussos_2024.childhood.GLU/rs62054398_count_position.png",4,220,900)</f>
        <v/>
      </c>
      <c r="T1674">
        <f>IMAGE("https://mitra.stanford.edu/kundaje/oak/projects/neuro-variants/variant_position/credible/roussos_2024/variant_figures/roussos_2024.childhood.GLU/rs62054398_profile_position.png",4,220,900)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-0.041087139</v>
      </c>
      <c r="G1675" t="n">
        <v>0.2546794879285157</v>
      </c>
      <c r="H1675" t="n">
        <v>0.011553102152169</v>
      </c>
      <c r="I1675" t="n">
        <v>0.4947353681575833</v>
      </c>
      <c r="J1675" t="n">
        <v>0.0068375452007375</v>
      </c>
      <c r="K1675" t="n">
        <v>0.6605364730781733</v>
      </c>
      <c r="L1675" t="b">
        <v>0</v>
      </c>
      <c r="M1675" t="b">
        <v>0</v>
      </c>
      <c r="N1675" t="inlineStr">
        <is>
          <t>ref</t>
        </is>
      </c>
      <c r="O1675" t="n">
        <v>95</v>
      </c>
      <c r="P1675" t="n">
        <v>0.01189</v>
      </c>
      <c r="Q1675" t="n">
        <v>-50</v>
      </c>
      <c r="R1675" t="n">
        <v>0.03476</v>
      </c>
      <c r="S1675">
        <f>IMAGE("https://mitra.stanford.edu/kundaje/oak/projects/neuro-variants/variant_position/credible/roussos_2024/variant_figures/roussos_2024.childhood.GLU/rs62054399_count_position.png",4,220,900)</f>
        <v/>
      </c>
      <c r="T1675">
        <f>IMAGE("https://mitra.stanford.edu/kundaje/oak/projects/neuro-variants/variant_position/credible/roussos_2024/variant_figures/roussos_2024.childhood.GLU/rs62054399_profile_position.png",4,220,900)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0.018196865</v>
      </c>
      <c r="G1676" t="n">
        <v>0.4693826750620756</v>
      </c>
      <c r="H1676" t="n">
        <v>0.0074898800167142</v>
      </c>
      <c r="I1676" t="n">
        <v>0.9165390234250572</v>
      </c>
      <c r="J1676" t="n">
        <v>0.0984711590962942</v>
      </c>
      <c r="K1676" t="n">
        <v>0.25288307966049</v>
      </c>
      <c r="L1676" t="b">
        <v>0</v>
      </c>
      <c r="M1676" t="b">
        <v>0</v>
      </c>
      <c r="N1676" t="inlineStr">
        <is>
          <t>alt</t>
        </is>
      </c>
      <c r="O1676" t="n">
        <v>-95</v>
      </c>
      <c r="P1676" t="n">
        <v>0.003311</v>
      </c>
      <c r="Q1676" t="n">
        <v>100</v>
      </c>
      <c r="R1676" t="n">
        <v>0.2054</v>
      </c>
      <c r="S1676">
        <f>IMAGE("https://mitra.stanford.edu/kundaje/oak/projects/neuro-variants/variant_position/credible/roussos_2024/variant_figures/roussos_2024.childhood.GLU/rs56298110_count_position.png",4,220,900)</f>
        <v/>
      </c>
      <c r="T1676">
        <f>IMAGE("https://mitra.stanford.edu/kundaje/oak/projects/neuro-variants/variant_position/credible/roussos_2024/variant_figures/roussos_2024.childhood.GLU/rs56298110_profile_position.png",4,220,900)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-0.018320056392</v>
      </c>
      <c r="G1677" t="n">
        <v>0.5272916811968079</v>
      </c>
      <c r="H1677" t="n">
        <v>0.02251655690462</v>
      </c>
      <c r="I1677" t="n">
        <v>0.06743510188770691</v>
      </c>
      <c r="J1677" t="n">
        <v>0.0322921281176918</v>
      </c>
      <c r="K1677" t="n">
        <v>0.4155808386774198</v>
      </c>
      <c r="L1677" t="b">
        <v>0</v>
      </c>
      <c r="M1677" t="b">
        <v>0</v>
      </c>
      <c r="N1677" t="inlineStr">
        <is>
          <t>ref</t>
        </is>
      </c>
      <c r="O1677" t="n">
        <v>45</v>
      </c>
      <c r="P1677" t="n">
        <v>0.009509999999999999</v>
      </c>
      <c r="Q1677" t="n">
        <v>45</v>
      </c>
      <c r="R1677" t="n">
        <v>0.1414</v>
      </c>
      <c r="S1677">
        <f>IMAGE("https://mitra.stanford.edu/kundaje/oak/projects/neuro-variants/variant_position/credible/roussos_2024/variant_figures/roussos_2024.childhood.GLU/rs62054419_count_position.png",4,220,900)</f>
        <v/>
      </c>
      <c r="T1677">
        <f>IMAGE("https://mitra.stanford.edu/kundaje/oak/projects/neuro-variants/variant_position/credible/roussos_2024/variant_figures/roussos_2024.childhood.GLU/rs62054419_profile_position.png",4,220,900)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0.0714207608</v>
      </c>
      <c r="G1678" t="n">
        <v>0.0996196357356362</v>
      </c>
      <c r="H1678" t="n">
        <v>0.0281596054675384</v>
      </c>
      <c r="I1678" t="n">
        <v>0.0280680767498476</v>
      </c>
      <c r="J1678" t="n">
        <v>0.7059422872861014</v>
      </c>
      <c r="K1678" t="n">
        <v>0.0137915923511843</v>
      </c>
      <c r="L1678" t="b">
        <v>0</v>
      </c>
      <c r="M1678" t="b">
        <v>0</v>
      </c>
      <c r="N1678" t="inlineStr">
        <is>
          <t>alt</t>
        </is>
      </c>
      <c r="O1678" t="n">
        <v>-100</v>
      </c>
      <c r="P1678" t="n">
        <v>0.05676</v>
      </c>
      <c r="Q1678" t="n">
        <v>-100</v>
      </c>
      <c r="R1678" t="n">
        <v>0.5580000000000001</v>
      </c>
      <c r="S1678">
        <f>IMAGE("https://mitra.stanford.edu/kundaje/oak/projects/neuro-variants/variant_position/credible/roussos_2024/variant_figures/roussos_2024.childhood.GLU/rs17563827_count_position.png",4,220,900)</f>
        <v/>
      </c>
      <c r="T1678">
        <f>IMAGE("https://mitra.stanford.edu/kundaje/oak/projects/neuro-variants/variant_position/credible/roussos_2024/variant_figures/roussos_2024.childhood.GLU/rs17563827_profile_position.png",4,220,900)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-0.0616036982</v>
      </c>
      <c r="G1679" t="n">
        <v>0.1277457008706211</v>
      </c>
      <c r="H1679" t="n">
        <v>0.0112929366228416</v>
      </c>
      <c r="I1679" t="n">
        <v>0.520034996309817</v>
      </c>
      <c r="J1679" t="n">
        <v>0.3477402206723191</v>
      </c>
      <c r="K1679" t="n">
        <v>0.07984081439697981</v>
      </c>
      <c r="L1679" t="b">
        <v>0</v>
      </c>
      <c r="M1679" t="b">
        <v>0</v>
      </c>
      <c r="N1679" t="inlineStr">
        <is>
          <t>ref</t>
        </is>
      </c>
      <c r="O1679" t="n">
        <v>-100</v>
      </c>
      <c r="P1679" t="n">
        <v>0.02806</v>
      </c>
      <c r="Q1679" t="n">
        <v>-100</v>
      </c>
      <c r="R1679" t="n">
        <v>0.274</v>
      </c>
      <c r="S1679">
        <f>IMAGE("https://mitra.stanford.edu/kundaje/oak/projects/neuro-variants/variant_position/credible/roussos_2024/variant_figures/roussos_2024.childhood.GLU/rs62054424_count_position.png",4,220,900)</f>
        <v/>
      </c>
      <c r="T1679">
        <f>IMAGE("https://mitra.stanford.edu/kundaje/oak/projects/neuro-variants/variant_position/credible/roussos_2024/variant_figures/roussos_2024.childhood.GLU/rs62054424_profile_position.png",4,220,900)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0.0520960522</v>
      </c>
      <c r="G1680" t="n">
        <v>0.1432836982190593</v>
      </c>
      <c r="H1680" t="n">
        <v>0.0119606330022982</v>
      </c>
      <c r="I1680" t="n">
        <v>0.4567090136627183</v>
      </c>
      <c r="J1680" t="n">
        <v>0.1712270905663098</v>
      </c>
      <c r="K1680" t="n">
        <v>0.1731926199278674</v>
      </c>
      <c r="L1680" t="b">
        <v>0</v>
      </c>
      <c r="M1680" t="b">
        <v>0</v>
      </c>
      <c r="N1680" t="inlineStr">
        <is>
          <t>alt</t>
        </is>
      </c>
      <c r="O1680" t="n">
        <v>40</v>
      </c>
      <c r="P1680" t="n">
        <v>0.01419</v>
      </c>
      <c r="Q1680" t="n">
        <v>20</v>
      </c>
      <c r="R1680" t="n">
        <v>0.02441</v>
      </c>
      <c r="S1680">
        <f>IMAGE("https://mitra.stanford.edu/kundaje/oak/projects/neuro-variants/variant_position/credible/roussos_2024/variant_figures/roussos_2024.childhood.GLU/rs62054426_count_position.png",4,220,900)</f>
        <v/>
      </c>
      <c r="T1680">
        <f>IMAGE("https://mitra.stanford.edu/kundaje/oak/projects/neuro-variants/variant_position/credible/roussos_2024/variant_figures/roussos_2024.childhood.GLU/rs62054426_profile_position.png",4,220,900)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0.040233368</v>
      </c>
      <c r="G1681" t="n">
        <v>0.236928083295998</v>
      </c>
      <c r="H1681" t="n">
        <v>0.0289628238073377</v>
      </c>
      <c r="I1681" t="n">
        <v>0.024616592009861</v>
      </c>
      <c r="J1681" t="n">
        <v>0.1139027681910432</v>
      </c>
      <c r="K1681" t="n">
        <v>0.2277246352604699</v>
      </c>
      <c r="L1681" t="b">
        <v>0</v>
      </c>
      <c r="M1681" t="b">
        <v>0</v>
      </c>
      <c r="N1681" t="inlineStr">
        <is>
          <t>alt</t>
        </is>
      </c>
      <c r="O1681" t="n">
        <v>100</v>
      </c>
      <c r="P1681" t="n">
        <v>0.032</v>
      </c>
      <c r="Q1681" t="n">
        <v>-80</v>
      </c>
      <c r="R1681" t="n">
        <v>0.00647</v>
      </c>
      <c r="S1681">
        <f>IMAGE("https://mitra.stanford.edu/kundaje/oak/projects/neuro-variants/variant_position/credible/roussos_2024/variant_figures/roussos_2024.childhood.GLU/rs74464991_count_position.png",4,220,900)</f>
        <v/>
      </c>
      <c r="T1681">
        <f>IMAGE("https://mitra.stanford.edu/kundaje/oak/projects/neuro-variants/variant_position/credible/roussos_2024/variant_figures/roussos_2024.childhood.GLU/rs74464991_profile_position.png",4,220,900)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0.072307198</v>
      </c>
      <c r="G1682" t="n">
        <v>0.0879387947549567</v>
      </c>
      <c r="H1682" t="n">
        <v>0.0154779481315341</v>
      </c>
      <c r="I1682" t="n">
        <v>0.2287989377123248</v>
      </c>
      <c r="J1682" t="n">
        <v>0.07830158550279701</v>
      </c>
      <c r="K1682" t="n">
        <v>0.2855512228168653</v>
      </c>
      <c r="L1682" t="b">
        <v>0</v>
      </c>
      <c r="M1682" t="b">
        <v>0</v>
      </c>
      <c r="N1682" t="inlineStr">
        <is>
          <t>alt</t>
        </is>
      </c>
      <c r="O1682" t="n">
        <v>-55</v>
      </c>
      <c r="P1682" t="n">
        <v>0.004333</v>
      </c>
      <c r="Q1682" t="n">
        <v>95</v>
      </c>
      <c r="R1682" t="n">
        <v>0.1166</v>
      </c>
      <c r="S1682">
        <f>IMAGE("https://mitra.stanford.edu/kundaje/oak/projects/neuro-variants/variant_position/credible/roussos_2024/variant_figures/roussos_2024.childhood.GLU/rs2004260_count_position.png",4,220,900)</f>
        <v/>
      </c>
      <c r="T1682">
        <f>IMAGE("https://mitra.stanford.edu/kundaje/oak/projects/neuro-variants/variant_position/credible/roussos_2024/variant_figures/roussos_2024.childhood.GLU/rs2004260_profile_position.png",4,220,900)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-0.04575128966</v>
      </c>
      <c r="G1683" t="n">
        <v>0.2471673826445822</v>
      </c>
      <c r="H1683" t="n">
        <v>0.0203447209352614</v>
      </c>
      <c r="I1683" t="n">
        <v>0.0937608866552635</v>
      </c>
      <c r="J1683" t="n">
        <v>0.5366489126067562</v>
      </c>
      <c r="K1683" t="n">
        <v>0.0361696198575627</v>
      </c>
      <c r="L1683" t="b">
        <v>0</v>
      </c>
      <c r="M1683" t="b">
        <v>0</v>
      </c>
      <c r="N1683" t="inlineStr">
        <is>
          <t>ref</t>
        </is>
      </c>
      <c r="O1683" t="n">
        <v>-30</v>
      </c>
      <c r="P1683" t="n">
        <v>0.008999999999999999</v>
      </c>
      <c r="Q1683" t="n">
        <v>-30</v>
      </c>
      <c r="R1683" t="n">
        <v>0.05566</v>
      </c>
      <c r="S1683">
        <f>IMAGE("https://mitra.stanford.edu/kundaje/oak/projects/neuro-variants/variant_position/credible/roussos_2024/variant_figures/roussos_2024.childhood.GLU/rs75715199_count_position.png",4,220,900)</f>
        <v/>
      </c>
      <c r="T1683">
        <f>IMAGE("https://mitra.stanford.edu/kundaje/oak/projects/neuro-variants/variant_position/credible/roussos_2024/variant_figures/roussos_2024.childhood.GLU/rs75715199_profile_position.png",4,220,900)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-0.0098599209199999</v>
      </c>
      <c r="G1684" t="n">
        <v>0.6831041880599709</v>
      </c>
      <c r="H1684" t="n">
        <v>0.0148947614565866</v>
      </c>
      <c r="I1684" t="n">
        <v>0.2596116366292387</v>
      </c>
      <c r="J1684" t="n">
        <v>0.5043124851906415</v>
      </c>
      <c r="K1684" t="n">
        <v>0.0417724336131371</v>
      </c>
      <c r="L1684" t="b">
        <v>0</v>
      </c>
      <c r="M1684" t="b">
        <v>0</v>
      </c>
      <c r="N1684" t="inlineStr">
        <is>
          <t>ref</t>
        </is>
      </c>
      <c r="O1684" t="n">
        <v>-100</v>
      </c>
      <c r="P1684" t="n">
        <v>0.03824</v>
      </c>
      <c r="Q1684" t="n">
        <v>-100</v>
      </c>
      <c r="R1684" t="n">
        <v>0.4346</v>
      </c>
      <c r="S1684">
        <f>IMAGE("https://mitra.stanford.edu/kundaje/oak/projects/neuro-variants/variant_position/credible/roussos_2024/variant_figures/roussos_2024.childhood.GLU/rs62054439_count_position.png",4,220,900)</f>
        <v/>
      </c>
      <c r="T1684">
        <f>IMAGE("https://mitra.stanford.edu/kundaje/oak/projects/neuro-variants/variant_position/credible/roussos_2024/variant_figures/roussos_2024.childhood.GLU/rs62054439_profile_position.png",4,220,900)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0.0747388718</v>
      </c>
      <c r="G1685" t="n">
        <v>0.0821166582017174</v>
      </c>
      <c r="H1685" t="n">
        <v>0.013385551826198</v>
      </c>
      <c r="I1685" t="n">
        <v>0.3393043142368172</v>
      </c>
      <c r="J1685" t="n">
        <v>0.2990140830560334</v>
      </c>
      <c r="K1685" t="n">
        <v>0.0978930139488098</v>
      </c>
      <c r="L1685" t="b">
        <v>0</v>
      </c>
      <c r="M1685" t="b">
        <v>0</v>
      </c>
      <c r="N1685" t="inlineStr">
        <is>
          <t>alt</t>
        </is>
      </c>
      <c r="O1685" t="n">
        <v>-65</v>
      </c>
      <c r="P1685" t="n">
        <v>0.00354</v>
      </c>
      <c r="Q1685" t="n">
        <v>50</v>
      </c>
      <c r="R1685" t="n">
        <v>0.010864</v>
      </c>
      <c r="S1685">
        <f>IMAGE("https://mitra.stanford.edu/kundaje/oak/projects/neuro-variants/variant_position/credible/roussos_2024/variant_figures/roussos_2024.childhood.GLU/rs12150363_count_position.png",4,220,900)</f>
        <v/>
      </c>
      <c r="T1685">
        <f>IMAGE("https://mitra.stanford.edu/kundaje/oak/projects/neuro-variants/variant_position/credible/roussos_2024/variant_figures/roussos_2024.childhood.GLU/rs12150363_profile_position.png",4,220,900)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0.015519296624</v>
      </c>
      <c r="G1686" t="n">
        <v>0.5065187038522526</v>
      </c>
      <c r="H1686" t="n">
        <v>0.0140030276460372</v>
      </c>
      <c r="I1686" t="n">
        <v>0.3114488419513218</v>
      </c>
      <c r="J1686" t="n">
        <v>0.3587233560324311</v>
      </c>
      <c r="K1686" t="n">
        <v>0.0766014787620543</v>
      </c>
      <c r="L1686" t="b">
        <v>0</v>
      </c>
      <c r="M1686" t="b">
        <v>0</v>
      </c>
      <c r="N1686" t="inlineStr">
        <is>
          <t>alt</t>
        </is>
      </c>
      <c r="O1686" t="n">
        <v>-65</v>
      </c>
      <c r="P1686" t="n">
        <v>0.004818</v>
      </c>
      <c r="Q1686" t="n">
        <v>-100</v>
      </c>
      <c r="R1686" t="n">
        <v>0.1586</v>
      </c>
      <c r="S1686">
        <f>IMAGE("https://mitra.stanford.edu/kundaje/oak/projects/neuro-variants/variant_position/credible/roussos_2024/variant_figures/roussos_2024.childhood.GLU/rs62054440_count_position.png",4,220,900)</f>
        <v/>
      </c>
      <c r="T1686">
        <f>IMAGE("https://mitra.stanford.edu/kundaje/oak/projects/neuro-variants/variant_position/credible/roussos_2024/variant_figures/roussos_2024.childhood.GLU/rs62054440_profile_position.png",4,220,900)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0.0186641494</v>
      </c>
      <c r="G1687" t="n">
        <v>0.4682838161159209</v>
      </c>
      <c r="H1687" t="n">
        <v>0.008899319552890399</v>
      </c>
      <c r="I1687" t="n">
        <v>0.7509437007752532</v>
      </c>
      <c r="J1687" t="n">
        <v>0.2705337550351818</v>
      </c>
      <c r="K1687" t="n">
        <v>0.1090630376648721</v>
      </c>
      <c r="L1687" t="b">
        <v>0</v>
      </c>
      <c r="M1687" t="b">
        <v>0</v>
      </c>
      <c r="N1687" t="inlineStr">
        <is>
          <t>alt</t>
        </is>
      </c>
      <c r="O1687" t="n">
        <v>90</v>
      </c>
      <c r="P1687" t="n">
        <v>0.00451</v>
      </c>
      <c r="Q1687" t="n">
        <v>-15</v>
      </c>
      <c r="R1687" t="n">
        <v>0.02472</v>
      </c>
      <c r="S1687">
        <f>IMAGE("https://mitra.stanford.edu/kundaje/oak/projects/neuro-variants/variant_position/credible/roussos_2024/variant_figures/roussos_2024.childhood.GLU/rs12150604_count_position.png",4,220,900)</f>
        <v/>
      </c>
      <c r="T1687">
        <f>IMAGE("https://mitra.stanford.edu/kundaje/oak/projects/neuro-variants/variant_position/credible/roussos_2024/variant_figures/roussos_2024.childhood.GLU/rs12150604_profile_position.png",4,220,900)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-0.120778074</v>
      </c>
      <c r="G1688" t="n">
        <v>0.0298043817723192</v>
      </c>
      <c r="H1688" t="n">
        <v>0.0152348339196</v>
      </c>
      <c r="I1688" t="n">
        <v>0.2406003007946469</v>
      </c>
      <c r="J1688" t="n">
        <v>0.3775423161321561</v>
      </c>
      <c r="K1688" t="n">
        <v>0.0707295522161933</v>
      </c>
      <c r="L1688" t="b">
        <v>0</v>
      </c>
      <c r="M1688" t="b">
        <v>0</v>
      </c>
      <c r="N1688" t="inlineStr">
        <is>
          <t>ref</t>
        </is>
      </c>
      <c r="O1688" t="n">
        <v>100</v>
      </c>
      <c r="P1688" t="n">
        <v>0.006504</v>
      </c>
      <c r="Q1688" t="n">
        <v>0</v>
      </c>
      <c r="R1688" t="n">
        <v>0</v>
      </c>
      <c r="S1688">
        <f>IMAGE("https://mitra.stanford.edu/kundaje/oak/projects/neuro-variants/variant_position/credible/roussos_2024/variant_figures/roussos_2024.childhood.GLU/rs17426064_count_position.png",4,220,900)</f>
        <v/>
      </c>
      <c r="T1688">
        <f>IMAGE("https://mitra.stanford.edu/kundaje/oak/projects/neuro-variants/variant_position/credible/roussos_2024/variant_figures/roussos_2024.childhood.GLU/rs17426064_profile_position.png",4,220,900)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0.0453708194</v>
      </c>
      <c r="G1689" t="n">
        <v>0.2015833287330196</v>
      </c>
      <c r="H1689" t="n">
        <v>0.0129611743888986</v>
      </c>
      <c r="I1689" t="n">
        <v>0.371101660179698</v>
      </c>
      <c r="J1689" t="n">
        <v>0.4139511883544355</v>
      </c>
      <c r="K1689" t="n">
        <v>0.0609493297466853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0.02446</v>
      </c>
      <c r="Q1689" t="n">
        <v>-100</v>
      </c>
      <c r="R1689" t="n">
        <v>0.03662</v>
      </c>
      <c r="S1689">
        <f>IMAGE("https://mitra.stanford.edu/kundaje/oak/projects/neuro-variants/variant_position/credible/roussos_2024/variant_figures/roussos_2024.childhood.GLU/rs62054442_count_position.png",4,220,900)</f>
        <v/>
      </c>
      <c r="T1689">
        <f>IMAGE("https://mitra.stanford.edu/kundaje/oak/projects/neuro-variants/variant_position/credible/roussos_2024/variant_figures/roussos_2024.childhood.GLU/rs62054442_profile_position.png",4,220,900)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0.046851852</v>
      </c>
      <c r="G1690" t="n">
        <v>0.193616800198207</v>
      </c>
      <c r="H1690" t="n">
        <v>0.0123470211729496</v>
      </c>
      <c r="I1690" t="n">
        <v>0.4263220539403874</v>
      </c>
      <c r="J1690" t="n">
        <v>0.1317059350757723</v>
      </c>
      <c r="K1690" t="n">
        <v>0.2090318492572277</v>
      </c>
      <c r="L1690" t="b">
        <v>0</v>
      </c>
      <c r="M1690" t="b">
        <v>0</v>
      </c>
      <c r="N1690" t="inlineStr">
        <is>
          <t>alt</t>
        </is>
      </c>
      <c r="O1690" t="n">
        <v>-100</v>
      </c>
      <c r="P1690" t="n">
        <v>0.02785</v>
      </c>
      <c r="Q1690" t="n">
        <v>-10</v>
      </c>
      <c r="R1690" t="n">
        <v>0.02509</v>
      </c>
      <c r="S1690">
        <f>IMAGE("https://mitra.stanford.edu/kundaje/oak/projects/neuro-variants/variant_position/credible/roussos_2024/variant_figures/roussos_2024.childhood.GLU/rs35631660_count_position.png",4,220,900)</f>
        <v/>
      </c>
      <c r="T1690">
        <f>IMAGE("https://mitra.stanford.edu/kundaje/oak/projects/neuro-variants/variant_position/credible/roussos_2024/variant_figures/roussos_2024.childhood.GLU/rs35631660_profile_position.png",4,220,900)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0.0735047306</v>
      </c>
      <c r="G1691" t="n">
        <v>0.0851766603075723</v>
      </c>
      <c r="H1691" t="n">
        <v>0.0120523151695919</v>
      </c>
      <c r="I1691" t="n">
        <v>0.4458674143323211</v>
      </c>
      <c r="J1691" t="n">
        <v>0.2697281259336335</v>
      </c>
      <c r="K1691" t="n">
        <v>0.1112714038291729</v>
      </c>
      <c r="L1691" t="b">
        <v>0</v>
      </c>
      <c r="M1691" t="b">
        <v>0</v>
      </c>
      <c r="N1691" t="inlineStr">
        <is>
          <t>alt</t>
        </is>
      </c>
      <c r="O1691" t="n">
        <v>60</v>
      </c>
      <c r="P1691" t="n">
        <v>0.003746</v>
      </c>
      <c r="Q1691" t="n">
        <v>30</v>
      </c>
      <c r="R1691" t="n">
        <v>0.05212</v>
      </c>
      <c r="S1691">
        <f>IMAGE("https://mitra.stanford.edu/kundaje/oak/projects/neuro-variants/variant_position/credible/roussos_2024/variant_figures/roussos_2024.childhood.GLU/rs62055876_count_position.png",4,220,900)</f>
        <v/>
      </c>
      <c r="T1691">
        <f>IMAGE("https://mitra.stanford.edu/kundaje/oak/projects/neuro-variants/variant_position/credible/roussos_2024/variant_figures/roussos_2024.childhood.GLU/rs62055876_profile_position.png",4,220,900)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0.08934441160000001</v>
      </c>
      <c r="G1692" t="n">
        <v>0.0574373292684644</v>
      </c>
      <c r="H1692" t="n">
        <v>0.0133499245246229</v>
      </c>
      <c r="I1692" t="n">
        <v>0.3415110303557608</v>
      </c>
      <c r="J1692" t="n">
        <v>0.4060988801549445</v>
      </c>
      <c r="K1692" t="n">
        <v>0.0626411640792188</v>
      </c>
      <c r="L1692" t="b">
        <v>0</v>
      </c>
      <c r="M1692" t="b">
        <v>0</v>
      </c>
      <c r="N1692" t="inlineStr">
        <is>
          <t>alt</t>
        </is>
      </c>
      <c r="O1692" t="n">
        <v>100</v>
      </c>
      <c r="P1692" t="n">
        <v>0.010475</v>
      </c>
      <c r="Q1692" t="n">
        <v>100</v>
      </c>
      <c r="R1692" t="n">
        <v>0.2455</v>
      </c>
      <c r="S1692">
        <f>IMAGE("https://mitra.stanford.edu/kundaje/oak/projects/neuro-variants/variant_position/credible/roussos_2024/variant_figures/roussos_2024.childhood.GLU/rs34579278_count_position.png",4,220,900)</f>
        <v/>
      </c>
      <c r="T1692">
        <f>IMAGE("https://mitra.stanford.edu/kundaje/oak/projects/neuro-variants/variant_position/credible/roussos_2024/variant_figures/roussos_2024.childhood.GLU/rs34579278_profile_position.png",4,220,900)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0.0880886172</v>
      </c>
      <c r="G1693" t="n">
        <v>0.0596630689894993</v>
      </c>
      <c r="H1693" t="n">
        <v>0.0207244490842772</v>
      </c>
      <c r="I1693" t="n">
        <v>0.09234517712789971</v>
      </c>
      <c r="J1693" t="n">
        <v>0.3836339847734039</v>
      </c>
      <c r="K1693" t="n">
        <v>0.0687108782494202</v>
      </c>
      <c r="L1693" t="b">
        <v>0</v>
      </c>
      <c r="M1693" t="b">
        <v>0</v>
      </c>
      <c r="N1693" t="inlineStr">
        <is>
          <t>alt</t>
        </is>
      </c>
      <c r="O1693" t="n">
        <v>70</v>
      </c>
      <c r="P1693" t="n">
        <v>0.004486</v>
      </c>
      <c r="Q1693" t="n">
        <v>65</v>
      </c>
      <c r="R1693" t="n">
        <v>0.176</v>
      </c>
      <c r="S1693">
        <f>IMAGE("https://mitra.stanford.edu/kundaje/oak/projects/neuro-variants/variant_position/credible/roussos_2024/variant_figures/roussos_2024.childhood.GLU/rs34211253_count_position.png",4,220,900)</f>
        <v/>
      </c>
      <c r="T1693">
        <f>IMAGE("https://mitra.stanford.edu/kundaje/oak/projects/neuro-variants/variant_position/credible/roussos_2024/variant_figures/roussos_2024.childhood.GLU/rs34211253_profile_position.png",4,220,900)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0.0576957278</v>
      </c>
      <c r="G1694" t="n">
        <v>0.1347295991616744</v>
      </c>
      <c r="H1694" t="n">
        <v>0.012041547865203</v>
      </c>
      <c r="I1694" t="n">
        <v>0.4482727927181381</v>
      </c>
      <c r="J1694" t="n">
        <v>0.2566855883049851</v>
      </c>
      <c r="K1694" t="n">
        <v>0.115906550621223</v>
      </c>
      <c r="L1694" t="b">
        <v>0</v>
      </c>
      <c r="M1694" t="b">
        <v>0</v>
      </c>
      <c r="N1694" t="inlineStr">
        <is>
          <t>alt</t>
        </is>
      </c>
      <c r="O1694" t="n">
        <v>-55</v>
      </c>
      <c r="P1694" t="n">
        <v>0.001308</v>
      </c>
      <c r="Q1694" t="n">
        <v>95</v>
      </c>
      <c r="R1694" t="n">
        <v>0.1376</v>
      </c>
      <c r="S1694">
        <f>IMAGE("https://mitra.stanford.edu/kundaje/oak/projects/neuro-variants/variant_position/credible/roussos_2024/variant_figures/roussos_2024.childhood.GLU/rs11079717_count_position.png",4,220,900)</f>
        <v/>
      </c>
      <c r="T1694">
        <f>IMAGE("https://mitra.stanford.edu/kundaje/oak/projects/neuro-variants/variant_position/credible/roussos_2024/variant_figures/roussos_2024.childhood.GLU/rs11079717_profile_position.png",4,220,900)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-0.0410839868</v>
      </c>
      <c r="G1695" t="n">
        <v>0.2420986761006602</v>
      </c>
      <c r="H1695" t="n">
        <v>0.018532623517871</v>
      </c>
      <c r="I1695" t="n">
        <v>0.1266379626291059</v>
      </c>
      <c r="J1695" t="n">
        <v>0.2904344421894155</v>
      </c>
      <c r="K1695" t="n">
        <v>0.1037303295807938</v>
      </c>
      <c r="L1695" t="b">
        <v>0</v>
      </c>
      <c r="M1695" t="b">
        <v>0</v>
      </c>
      <c r="N1695" t="inlineStr">
        <is>
          <t>ref</t>
        </is>
      </c>
      <c r="O1695" t="n">
        <v>-100</v>
      </c>
      <c r="P1695" t="n">
        <v>0.001175</v>
      </c>
      <c r="Q1695" t="n">
        <v>70</v>
      </c>
      <c r="R1695" t="n">
        <v>0.411</v>
      </c>
      <c r="S1695">
        <f>IMAGE("https://mitra.stanford.edu/kundaje/oak/projects/neuro-variants/variant_position/credible/roussos_2024/variant_figures/roussos_2024.childhood.GLU/rs56168907_count_position.png",4,220,900)</f>
        <v/>
      </c>
      <c r="T1695">
        <f>IMAGE("https://mitra.stanford.edu/kundaje/oak/projects/neuro-variants/variant_position/credible/roussos_2024/variant_figures/roussos_2024.childhood.GLU/rs56168907_profile_position.png",4,220,900)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-0.124664938</v>
      </c>
      <c r="G1696" t="n">
        <v>0.0279089405565466</v>
      </c>
      <c r="H1696" t="n">
        <v>0.0203207046024501</v>
      </c>
      <c r="I1696" t="n">
        <v>0.0958865483106045</v>
      </c>
      <c r="J1696" t="n">
        <v>0.3857294446104237</v>
      </c>
      <c r="K1696" t="n">
        <v>0.0684040831984612</v>
      </c>
      <c r="L1696" t="b">
        <v>0</v>
      </c>
      <c r="M1696" t="b">
        <v>0</v>
      </c>
      <c r="N1696" t="inlineStr">
        <is>
          <t>ref</t>
        </is>
      </c>
      <c r="O1696" t="n">
        <v>90</v>
      </c>
      <c r="P1696" t="n">
        <v>0.01265</v>
      </c>
      <c r="Q1696" t="n">
        <v>40</v>
      </c>
      <c r="R1696" t="n">
        <v>0.2307</v>
      </c>
      <c r="S1696">
        <f>IMAGE("https://mitra.stanford.edu/kundaje/oak/projects/neuro-variants/variant_position/credible/roussos_2024/variant_figures/roussos_2024.childhood.GLU/rs55801356_count_position.png",4,220,900)</f>
        <v/>
      </c>
      <c r="T1696">
        <f>IMAGE("https://mitra.stanford.edu/kundaje/oak/projects/neuro-variants/variant_position/credible/roussos_2024/variant_figures/roussos_2024.childhood.GLU/rs55801356_profile_position.png",4,220,900)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-0.1083097532</v>
      </c>
      <c r="G1697" t="n">
        <v>0.0397214654977491</v>
      </c>
      <c r="H1697" t="n">
        <v>0.0159125925645779</v>
      </c>
      <c r="I1697" t="n">
        <v>0.2222770293920146</v>
      </c>
      <c r="J1697" t="n">
        <v>0.280217787713641</v>
      </c>
      <c r="K1697" t="n">
        <v>0.105460941130666</v>
      </c>
      <c r="L1697" t="b">
        <v>0</v>
      </c>
      <c r="M1697" t="b">
        <v>0</v>
      </c>
      <c r="N1697" t="inlineStr">
        <is>
          <t>ref</t>
        </is>
      </c>
      <c r="O1697" t="n">
        <v>-100</v>
      </c>
      <c r="P1697" t="n">
        <v>0.0097</v>
      </c>
      <c r="Q1697" t="n">
        <v>-10</v>
      </c>
      <c r="R1697" t="n">
        <v>0.009520000000000001</v>
      </c>
      <c r="S1697">
        <f>IMAGE("https://mitra.stanford.edu/kundaje/oak/projects/neuro-variants/variant_position/credible/roussos_2024/variant_figures/roussos_2024.childhood.GLU/rs62055890_count_position.png",4,220,900)</f>
        <v/>
      </c>
      <c r="T1697">
        <f>IMAGE("https://mitra.stanford.edu/kundaje/oak/projects/neuro-variants/variant_position/credible/roussos_2024/variant_figures/roussos_2024.childhood.GLU/rs62055890_profile_position.png",4,220,900)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-0.0001149671919999</v>
      </c>
      <c r="G1698" t="n">
        <v>0.7694454081359731</v>
      </c>
      <c r="H1698" t="n">
        <v>0.009414197553782601</v>
      </c>
      <c r="I1698" t="n">
        <v>0.7162740238573981</v>
      </c>
      <c r="J1698" t="n">
        <v>0.0225225874911143</v>
      </c>
      <c r="K1698" t="n">
        <v>0.4801033618346463</v>
      </c>
      <c r="L1698" t="b">
        <v>0</v>
      </c>
      <c r="M1698" t="b">
        <v>0</v>
      </c>
      <c r="N1698" t="inlineStr">
        <is>
          <t>ref</t>
        </is>
      </c>
      <c r="O1698" t="n">
        <v>-95</v>
      </c>
      <c r="P1698" t="n">
        <v>0.05566</v>
      </c>
      <c r="Q1698" t="n">
        <v>-100</v>
      </c>
      <c r="R1698" t="n">
        <v>0.0469</v>
      </c>
      <c r="S1698">
        <f>IMAGE("https://mitra.stanford.edu/kundaje/oak/projects/neuro-variants/variant_position/credible/roussos_2024/variant_figures/roussos_2024.childhood.GLU/rs56369036_count_position.png",4,220,900)</f>
        <v/>
      </c>
      <c r="T1698">
        <f>IMAGE("https://mitra.stanford.edu/kundaje/oak/projects/neuro-variants/variant_position/credible/roussos_2024/variant_figures/roussos_2024.childhood.GLU/rs56369036_profile_position.png",4,220,900)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0.0788989804</v>
      </c>
      <c r="G1699" t="n">
        <v>0.07876654639782681</v>
      </c>
      <c r="H1699" t="n">
        <v>0.0161625745379942</v>
      </c>
      <c r="I1699" t="n">
        <v>0.1955286633057881</v>
      </c>
      <c r="J1699" t="n">
        <v>0.0411705316946026</v>
      </c>
      <c r="K1699" t="n">
        <v>0.3915431621046847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0.01678</v>
      </c>
      <c r="Q1699" t="n">
        <v>-100</v>
      </c>
      <c r="R1699" t="n">
        <v>0.05942</v>
      </c>
      <c r="S1699">
        <f>IMAGE("https://mitra.stanford.edu/kundaje/oak/projects/neuro-variants/variant_position/credible/roussos_2024/variant_figures/roussos_2024.childhood.GLU/rs55707339_count_position.png",4,220,900)</f>
        <v/>
      </c>
      <c r="T1699">
        <f>IMAGE("https://mitra.stanford.edu/kundaje/oak/projects/neuro-variants/variant_position/credible/roussos_2024/variant_figures/roussos_2024.childhood.GLU/rs55707339_profile_position.png",4,220,900)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0.1041458908</v>
      </c>
      <c r="G1700" t="n">
        <v>0.0427800887408332</v>
      </c>
      <c r="H1700" t="n">
        <v>0.0221349800585551</v>
      </c>
      <c r="I1700" t="n">
        <v>0.0684483899629337</v>
      </c>
      <c r="J1700" t="n">
        <v>0.1890611639383106</v>
      </c>
      <c r="K1700" t="n">
        <v>0.1566451318063753</v>
      </c>
      <c r="L1700" t="b">
        <v>0</v>
      </c>
      <c r="M1700" t="b">
        <v>0</v>
      </c>
      <c r="N1700" t="inlineStr">
        <is>
          <t>alt</t>
        </is>
      </c>
      <c r="O1700" t="n">
        <v>-50</v>
      </c>
      <c r="P1700" t="n">
        <v>0.005417</v>
      </c>
      <c r="Q1700" t="n">
        <v>40</v>
      </c>
      <c r="R1700" t="n">
        <v>0.03076</v>
      </c>
      <c r="S1700">
        <f>IMAGE("https://mitra.stanford.edu/kundaje/oak/projects/neuro-variants/variant_position/credible/roussos_2024/variant_figures/roussos_2024.childhood.GLU/rs62055894_count_position.png",4,220,900)</f>
        <v/>
      </c>
      <c r="T1700">
        <f>IMAGE("https://mitra.stanford.edu/kundaje/oak/projects/neuro-variants/variant_position/credible/roussos_2024/variant_figures/roussos_2024.childhood.GLU/rs62055894_profile_position.png",4,220,900)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0.0450407812</v>
      </c>
      <c r="G1701" t="n">
        <v>0.2078837511825089</v>
      </c>
      <c r="H1701" t="n">
        <v>0.0115950761196836</v>
      </c>
      <c r="I1701" t="n">
        <v>0.4925456982591703</v>
      </c>
      <c r="J1701" t="n">
        <v>0.1540812016442251</v>
      </c>
      <c r="K1701" t="n">
        <v>0.1844108866810861</v>
      </c>
      <c r="L1701" t="b">
        <v>0</v>
      </c>
      <c r="M1701" t="b">
        <v>0</v>
      </c>
      <c r="N1701" t="inlineStr">
        <is>
          <t>alt</t>
        </is>
      </c>
      <c r="O1701" t="n">
        <v>-100</v>
      </c>
      <c r="P1701" t="n">
        <v>0.006584</v>
      </c>
      <c r="Q1701" t="n">
        <v>-65</v>
      </c>
      <c r="R1701" t="n">
        <v>0.1467</v>
      </c>
      <c r="S1701">
        <f>IMAGE("https://mitra.stanford.edu/kundaje/oak/projects/neuro-variants/variant_position/credible/roussos_2024/variant_figures/roussos_2024.childhood.GLU/rs62055895_count_position.png",4,220,900)</f>
        <v/>
      </c>
      <c r="T1701">
        <f>IMAGE("https://mitra.stanford.edu/kundaje/oak/projects/neuro-variants/variant_position/credible/roussos_2024/variant_figures/roussos_2024.childhood.GLU/rs62055895_profile_position.png",4,220,900)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0.01489486514</v>
      </c>
      <c r="G1702" t="n">
        <v>0.5215279866328071</v>
      </c>
      <c r="H1702" t="n">
        <v>0.0103197387103436</v>
      </c>
      <c r="I1702" t="n">
        <v>0.6266754924352745</v>
      </c>
      <c r="J1702" t="n">
        <v>0.1116332018090596</v>
      </c>
      <c r="K1702" t="n">
        <v>0.2304461475632396</v>
      </c>
      <c r="L1702" t="b">
        <v>0</v>
      </c>
      <c r="M1702" t="b">
        <v>0</v>
      </c>
      <c r="N1702" t="inlineStr">
        <is>
          <t>alt</t>
        </is>
      </c>
      <c r="O1702" t="n">
        <v>-95</v>
      </c>
      <c r="P1702" t="n">
        <v>0.03113</v>
      </c>
      <c r="Q1702" t="n">
        <v>15</v>
      </c>
      <c r="R1702" t="n">
        <v>0.04492</v>
      </c>
      <c r="S1702">
        <f>IMAGE("https://mitra.stanford.edu/kundaje/oak/projects/neuro-variants/variant_position/credible/roussos_2024/variant_figures/roussos_2024.childhood.GLU/rs55657917_count_position.png",4,220,900)</f>
        <v/>
      </c>
      <c r="T1702">
        <f>IMAGE("https://mitra.stanford.edu/kundaje/oak/projects/neuro-variants/variant_position/credible/roussos_2024/variant_figures/roussos_2024.childhood.GLU/rs55657917_profile_position.png",4,220,900)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0.00920770334</v>
      </c>
      <c r="G1703" t="n">
        <v>0.6588731323567558</v>
      </c>
      <c r="H1703" t="n">
        <v>0.0098526093592393</v>
      </c>
      <c r="I1703" t="n">
        <v>0.6710327885321676</v>
      </c>
      <c r="J1703" t="n">
        <v>0.1223979313257852</v>
      </c>
      <c r="K1703" t="n">
        <v>0.2170618968598144</v>
      </c>
      <c r="L1703" t="b">
        <v>0</v>
      </c>
      <c r="M1703" t="b">
        <v>0</v>
      </c>
      <c r="N1703" t="inlineStr">
        <is>
          <t>alt</t>
        </is>
      </c>
      <c r="O1703" t="n">
        <v>5</v>
      </c>
      <c r="P1703" t="n">
        <v>0.0006413</v>
      </c>
      <c r="Q1703" t="n">
        <v>-85</v>
      </c>
      <c r="R1703" t="n">
        <v>0.1783</v>
      </c>
      <c r="S1703">
        <f>IMAGE("https://mitra.stanford.edu/kundaje/oak/projects/neuro-variants/variant_position/credible/roussos_2024/variant_figures/roussos_2024.childhood.GLU/rs56109643_count_position.png",4,220,900)</f>
        <v/>
      </c>
      <c r="T1703">
        <f>IMAGE("https://mitra.stanford.edu/kundaje/oak/projects/neuro-variants/variant_position/credible/roussos_2024/variant_figures/roussos_2024.childhood.GLU/rs56109643_profile_position.png",4,220,900)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-0.134487093</v>
      </c>
      <c r="G1704" t="n">
        <v>0.0227290743052794</v>
      </c>
      <c r="H1704" t="n">
        <v>0.0378008847951966</v>
      </c>
      <c r="I1704" t="n">
        <v>0.0087153282284932</v>
      </c>
      <c r="J1704" t="n">
        <v>0.5078131599822803</v>
      </c>
      <c r="K1704" t="n">
        <v>0.0399116882003624</v>
      </c>
      <c r="L1704" t="b">
        <v>1</v>
      </c>
      <c r="M1704" t="b">
        <v>1</v>
      </c>
      <c r="N1704" t="inlineStr">
        <is>
          <t>ref</t>
        </is>
      </c>
      <c r="O1704" t="n">
        <v>40</v>
      </c>
      <c r="P1704" t="n">
        <v>0.001526</v>
      </c>
      <c r="Q1704" t="n">
        <v>-25</v>
      </c>
      <c r="R1704" t="n">
        <v>0.013916</v>
      </c>
      <c r="S1704">
        <f>IMAGE("https://mitra.stanford.edu/kundaje/oak/projects/neuro-variants/variant_position/credible/roussos_2024/variant_figures/roussos_2024.childhood.GLU/rs62055935_count_position.png",4,220,900)</f>
        <v/>
      </c>
      <c r="T1704">
        <f>IMAGE("https://mitra.stanford.edu/kundaje/oak/projects/neuro-variants/variant_position/credible/roussos_2024/variant_figures/roussos_2024.childhood.GLU/rs62055935_profile_position.png",4,220,900)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0.0697370824</v>
      </c>
      <c r="G1705" t="n">
        <v>0.0941834849166359</v>
      </c>
      <c r="H1705" t="n">
        <v>0.0106980561019506</v>
      </c>
      <c r="I1705" t="n">
        <v>0.5793396151082529</v>
      </c>
      <c r="J1705" t="n">
        <v>0.5230933272893981</v>
      </c>
      <c r="K1705" t="n">
        <v>0.0385076727996558</v>
      </c>
      <c r="L1705" t="b">
        <v>0</v>
      </c>
      <c r="M1705" t="b">
        <v>0</v>
      </c>
      <c r="N1705" t="inlineStr">
        <is>
          <t>alt</t>
        </is>
      </c>
      <c r="O1705" t="n">
        <v>65</v>
      </c>
      <c r="P1705" t="n">
        <v>0.00132</v>
      </c>
      <c r="Q1705" t="n">
        <v>30</v>
      </c>
      <c r="R1705" t="n">
        <v>0.08203000000000001</v>
      </c>
      <c r="S1705">
        <f>IMAGE("https://mitra.stanford.edu/kundaje/oak/projects/neuro-variants/variant_position/credible/roussos_2024/variant_figures/roussos_2024.childhood.GLU/rs62055948_count_position.png",4,220,900)</f>
        <v/>
      </c>
      <c r="T1705">
        <f>IMAGE("https://mitra.stanford.edu/kundaje/oak/projects/neuro-variants/variant_position/credible/roussos_2024/variant_figures/roussos_2024.childhood.GLU/rs62055948_profile_position.png",4,220,900)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-0.0209681403</v>
      </c>
      <c r="G1706" t="n">
        <v>0.4763752699009167</v>
      </c>
      <c r="H1706" t="n">
        <v>0.0121185656357396</v>
      </c>
      <c r="I1706" t="n">
        <v>0.4406439772652016</v>
      </c>
      <c r="J1706" t="n">
        <v>0.5187870233962109</v>
      </c>
      <c r="K1706" t="n">
        <v>0.0392480984478143</v>
      </c>
      <c r="L1706" t="b">
        <v>0</v>
      </c>
      <c r="M1706" t="b">
        <v>0</v>
      </c>
      <c r="N1706" t="inlineStr">
        <is>
          <t>ref</t>
        </is>
      </c>
      <c r="O1706" t="n">
        <v>65</v>
      </c>
      <c r="P1706" t="n">
        <v>0.003769</v>
      </c>
      <c r="Q1706" t="n">
        <v>-100</v>
      </c>
      <c r="R1706" t="n">
        <v>0.06396</v>
      </c>
      <c r="S1706">
        <f>IMAGE("https://mitra.stanford.edu/kundaje/oak/projects/neuro-variants/variant_position/credible/roussos_2024/variant_figures/roussos_2024.childhood.GLU/rs55787105_count_position.png",4,220,900)</f>
        <v/>
      </c>
      <c r="T1706">
        <f>IMAGE("https://mitra.stanford.edu/kundaje/oak/projects/neuro-variants/variant_position/credible/roussos_2024/variant_figures/roussos_2024.childhood.GLU/rs55787105_profile_position.png",4,220,900)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-0.0025326219199999</v>
      </c>
      <c r="G1707" t="n">
        <v>0.7162818091807294</v>
      </c>
      <c r="H1707" t="n">
        <v>0.0161780394205827</v>
      </c>
      <c r="I1707" t="n">
        <v>0.1974412314767789</v>
      </c>
      <c r="J1707" t="n">
        <v>0.5108234518425417</v>
      </c>
      <c r="K1707" t="n">
        <v>0.0406094613360094</v>
      </c>
      <c r="L1707" t="b">
        <v>0</v>
      </c>
      <c r="M1707" t="b">
        <v>0</v>
      </c>
      <c r="N1707" t="inlineStr">
        <is>
          <t>ref</t>
        </is>
      </c>
      <c r="O1707" t="n">
        <v>100</v>
      </c>
      <c r="P1707" t="n">
        <v>0.00499</v>
      </c>
      <c r="Q1707" t="n">
        <v>80</v>
      </c>
      <c r="R1707" t="n">
        <v>0.04785</v>
      </c>
      <c r="S1707">
        <f>IMAGE("https://mitra.stanford.edu/kundaje/oak/projects/neuro-variants/variant_position/credible/roussos_2024/variant_figures/roussos_2024.childhood.GLU/rs62055950_count_position.png",4,220,900)</f>
        <v/>
      </c>
      <c r="T1707">
        <f>IMAGE("https://mitra.stanford.edu/kundaje/oak/projects/neuro-variants/variant_position/credible/roussos_2024/variant_figures/roussos_2024.childhood.GLU/rs62055950_profile_position.png",4,220,900)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0.01163012832</v>
      </c>
      <c r="G1708" t="n">
        <v>0.6182753415894566</v>
      </c>
      <c r="H1708" t="n">
        <v>0.0298665036842902</v>
      </c>
      <c r="I1708" t="n">
        <v>0.0215624510409199</v>
      </c>
      <c r="J1708" t="n">
        <v>0.0462577394995208</v>
      </c>
      <c r="K1708" t="n">
        <v>0.3584014275774951</v>
      </c>
      <c r="L1708" t="b">
        <v>0</v>
      </c>
      <c r="M1708" t="b">
        <v>0</v>
      </c>
      <c r="N1708" t="inlineStr">
        <is>
          <t>alt</t>
        </is>
      </c>
      <c r="O1708" t="n">
        <v>-100</v>
      </c>
      <c r="P1708" t="n">
        <v>0.0331</v>
      </c>
      <c r="Q1708" t="n">
        <v>40</v>
      </c>
      <c r="R1708" t="n">
        <v>0.0404</v>
      </c>
      <c r="S1708">
        <f>IMAGE("https://mitra.stanford.edu/kundaje/oak/projects/neuro-variants/variant_position/credible/roussos_2024/variant_figures/roussos_2024.childhood.GLU/rs62057067_count_position.png",4,220,900)</f>
        <v/>
      </c>
      <c r="T1708">
        <f>IMAGE("https://mitra.stanford.edu/kundaje/oak/projects/neuro-variants/variant_position/credible/roussos_2024/variant_figures/roussos_2024.childhood.GLU/rs62057067_profile_position.png",4,220,900)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-0.1052508336</v>
      </c>
      <c r="G1709" t="n">
        <v>0.0441115507155132</v>
      </c>
      <c r="H1709" t="n">
        <v>0.0181479119054371</v>
      </c>
      <c r="I1709" t="n">
        <v>0.1362872336641943</v>
      </c>
      <c r="J1709" t="n">
        <v>0.2847816456674255</v>
      </c>
      <c r="K1709" t="n">
        <v>0.1033628717748163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0.006836</v>
      </c>
      <c r="Q1709" t="n">
        <v>5</v>
      </c>
      <c r="R1709" t="n">
        <v>0.001465</v>
      </c>
      <c r="S1709">
        <f>IMAGE("https://mitra.stanford.edu/kundaje/oak/projects/neuro-variants/variant_position/credible/roussos_2024/variant_figures/roussos_2024.childhood.GLU/rs117365970_count_position.png",4,220,900)</f>
        <v/>
      </c>
      <c r="T1709">
        <f>IMAGE("https://mitra.stanford.edu/kundaje/oak/projects/neuro-variants/variant_position/credible/roussos_2024/variant_figures/roussos_2024.childhood.GLU/rs117365970_profile_position.png",4,220,900)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0.01194301448</v>
      </c>
      <c r="G1710" t="n">
        <v>0.5640321736334928</v>
      </c>
      <c r="H1710" t="n">
        <v>0.0184785871224782</v>
      </c>
      <c r="I1710" t="n">
        <v>0.1289590273058043</v>
      </c>
      <c r="J1710" t="n">
        <v>0.2907146610073454</v>
      </c>
      <c r="K1710" t="n">
        <v>0.1009216547241904</v>
      </c>
      <c r="L1710" t="b">
        <v>0</v>
      </c>
      <c r="M1710" t="b">
        <v>0</v>
      </c>
      <c r="N1710" t="inlineStr">
        <is>
          <t>alt</t>
        </is>
      </c>
      <c r="O1710" t="n">
        <v>-100</v>
      </c>
      <c r="P1710" t="n">
        <v>0.006855</v>
      </c>
      <c r="Q1710" t="n">
        <v>5</v>
      </c>
      <c r="R1710" t="n">
        <v>0.004395</v>
      </c>
      <c r="S1710">
        <f>IMAGE("https://mitra.stanford.edu/kundaje/oak/projects/neuro-variants/variant_position/credible/roussos_2024/variant_figures/roussos_2024.childhood.GLU/rs117646503_count_position.png",4,220,900)</f>
        <v/>
      </c>
      <c r="T1710">
        <f>IMAGE("https://mitra.stanford.edu/kundaje/oak/projects/neuro-variants/variant_position/credible/roussos_2024/variant_figures/roussos_2024.childhood.GLU/rs117646503_profile_position.png",4,220,900)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-0.0404716318</v>
      </c>
      <c r="G1711" t="n">
        <v>0.2470822178146854</v>
      </c>
      <c r="H1711" t="n">
        <v>0.0100476192138357</v>
      </c>
      <c r="I1711" t="n">
        <v>0.6554299963115681</v>
      </c>
      <c r="J1711" t="n">
        <v>0.3521938454881679</v>
      </c>
      <c r="K1711" t="n">
        <v>0.0781865763352648</v>
      </c>
      <c r="L1711" t="b">
        <v>0</v>
      </c>
      <c r="M1711" t="b">
        <v>0</v>
      </c>
      <c r="N1711" t="inlineStr">
        <is>
          <t>ref</t>
        </is>
      </c>
      <c r="O1711" t="n">
        <v>95</v>
      </c>
      <c r="P1711" t="n">
        <v>0.001274</v>
      </c>
      <c r="Q1711" t="n">
        <v>-95</v>
      </c>
      <c r="R1711" t="n">
        <v>0.2224</v>
      </c>
      <c r="S1711">
        <f>IMAGE("https://mitra.stanford.edu/kundaje/oak/projects/neuro-variants/variant_position/credible/roussos_2024/variant_figures/roussos_2024.childhood.GLU/rs28364023_count_position.png",4,220,900)</f>
        <v/>
      </c>
      <c r="T1711">
        <f>IMAGE("https://mitra.stanford.edu/kundaje/oak/projects/neuro-variants/variant_position/credible/roussos_2024/variant_figures/roussos_2024.childhood.GLU/rs28364023_profile_position.png",4,220,900)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0.0586341803999999</v>
      </c>
      <c r="G1712" t="n">
        <v>0.1349934609920799</v>
      </c>
      <c r="H1712" t="n">
        <v>0.0125093117784241</v>
      </c>
      <c r="I1712" t="n">
        <v>0.4079959199885002</v>
      </c>
      <c r="J1712" t="n">
        <v>0.2913338209690214</v>
      </c>
      <c r="K1712" t="n">
        <v>0.1009009264632282</v>
      </c>
      <c r="L1712" t="b">
        <v>0</v>
      </c>
      <c r="M1712" t="b">
        <v>0</v>
      </c>
      <c r="N1712" t="inlineStr">
        <is>
          <t>alt</t>
        </is>
      </c>
      <c r="O1712" t="n">
        <v>-50</v>
      </c>
      <c r="P1712" t="n">
        <v>0.001614</v>
      </c>
      <c r="Q1712" t="n">
        <v>10</v>
      </c>
      <c r="R1712" t="n">
        <v>0.01001</v>
      </c>
      <c r="S1712">
        <f>IMAGE("https://mitra.stanford.edu/kundaje/oak/projects/neuro-variants/variant_position/credible/roussos_2024/variant_figures/roussos_2024.childhood.GLU/rs56099546_count_position.png",4,220,900)</f>
        <v/>
      </c>
      <c r="T1712">
        <f>IMAGE("https://mitra.stanford.edu/kundaje/oak/projects/neuro-variants/variant_position/credible/roussos_2024/variant_figures/roussos_2024.childhood.GLU/rs56099546_profile_position.png",4,220,900)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0.0366104862</v>
      </c>
      <c r="G1713" t="n">
        <v>0.2621698685396157</v>
      </c>
      <c r="H1713" t="n">
        <v>0.0144701605278747</v>
      </c>
      <c r="I1713" t="n">
        <v>0.2751868071988053</v>
      </c>
      <c r="J1713" t="n">
        <v>0.282916954268701</v>
      </c>
      <c r="K1713" t="n">
        <v>0.1044955152317119</v>
      </c>
      <c r="L1713" t="b">
        <v>0</v>
      </c>
      <c r="M1713" t="b">
        <v>0</v>
      </c>
      <c r="N1713" t="inlineStr">
        <is>
          <t>alt</t>
        </is>
      </c>
      <c r="O1713" t="n">
        <v>-10</v>
      </c>
      <c r="P1713" t="n">
        <v>0.000574</v>
      </c>
      <c r="Q1713" t="n">
        <v>-85</v>
      </c>
      <c r="R1713" t="n">
        <v>0.07630000000000001</v>
      </c>
      <c r="S1713">
        <f>IMAGE("https://mitra.stanford.edu/kundaje/oak/projects/neuro-variants/variant_position/credible/roussos_2024/variant_figures/roussos_2024.childhood.GLU/rs4277389_count_position.png",4,220,900)</f>
        <v/>
      </c>
      <c r="T1713">
        <f>IMAGE("https://mitra.stanford.edu/kundaje/oak/projects/neuro-variants/variant_position/credible/roussos_2024/variant_figures/roussos_2024.childhood.GLU/rs4277389_profile_position.png",4,220,900)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0.0149715578999999</v>
      </c>
      <c r="G1714" t="n">
        <v>0.5367663789690831</v>
      </c>
      <c r="H1714" t="n">
        <v>0.0077287508949759</v>
      </c>
      <c r="I1714" t="n">
        <v>0.8754134419507061</v>
      </c>
      <c r="J1714" t="n">
        <v>0.3199903159673215</v>
      </c>
      <c r="K1714" t="n">
        <v>0.0894723274160331</v>
      </c>
      <c r="L1714" t="b">
        <v>0</v>
      </c>
      <c r="M1714" t="b">
        <v>0</v>
      </c>
      <c r="N1714" t="inlineStr">
        <is>
          <t>alt</t>
        </is>
      </c>
      <c r="O1714" t="n">
        <v>50</v>
      </c>
      <c r="P1714" t="n">
        <v>0.002316</v>
      </c>
      <c r="Q1714" t="n">
        <v>90</v>
      </c>
      <c r="R1714" t="n">
        <v>0.0468</v>
      </c>
      <c r="S1714">
        <f>IMAGE("https://mitra.stanford.edu/kundaje/oak/projects/neuro-variants/variant_position/credible/roussos_2024/variant_figures/roussos_2024.childhood.GLU/rs4309444_count_position.png",4,220,900)</f>
        <v/>
      </c>
      <c r="T1714">
        <f>IMAGE("https://mitra.stanford.edu/kundaje/oak/projects/neuro-variants/variant_position/credible/roussos_2024/variant_figures/roussos_2024.childhood.GLU/rs4309444_profile_position.png",4,220,900)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-0.0112924895799999</v>
      </c>
      <c r="G1715" t="n">
        <v>0.6214327319087946</v>
      </c>
      <c r="H1715" t="n">
        <v>0.0311695354700401</v>
      </c>
      <c r="I1715" t="n">
        <v>0.0181841079523105</v>
      </c>
      <c r="J1715" t="n">
        <v>0.2723397241080903</v>
      </c>
      <c r="K1715" t="n">
        <v>0.1082657468800887</v>
      </c>
      <c r="L1715" t="b">
        <v>1</v>
      </c>
      <c r="M1715" t="b">
        <v>0</v>
      </c>
      <c r="N1715" t="inlineStr">
        <is>
          <t>ref</t>
        </is>
      </c>
      <c r="O1715" t="n">
        <v>-35</v>
      </c>
      <c r="P1715" t="n">
        <v>0.002747</v>
      </c>
      <c r="Q1715" t="n">
        <v>100</v>
      </c>
      <c r="R1715" t="n">
        <v>0.1707</v>
      </c>
      <c r="S1715">
        <f>IMAGE("https://mitra.stanford.edu/kundaje/oak/projects/neuro-variants/variant_position/credible/roussos_2024/variant_figures/roussos_2024.childhood.GLU/rs78917479_count_position.png",4,220,900)</f>
        <v/>
      </c>
      <c r="T1715">
        <f>IMAGE("https://mitra.stanford.edu/kundaje/oak/projects/neuro-variants/variant_position/credible/roussos_2024/variant_figures/roussos_2024.childhood.GLU/rs78917479_profile_position.png",4,220,900)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-0.0517136901999999</v>
      </c>
      <c r="G1716" t="n">
        <v>0.1672208547412346</v>
      </c>
      <c r="H1716" t="n">
        <v>0.010740316936198</v>
      </c>
      <c r="I1716" t="n">
        <v>0.5829520547937558</v>
      </c>
      <c r="J1716" t="n">
        <v>0.4129086095171376</v>
      </c>
      <c r="K1716" t="n">
        <v>0.0611298211278489</v>
      </c>
      <c r="L1716" t="b">
        <v>0</v>
      </c>
      <c r="M1716" t="b">
        <v>0</v>
      </c>
      <c r="N1716" t="inlineStr">
        <is>
          <t>ref</t>
        </is>
      </c>
      <c r="O1716" t="n">
        <v>100</v>
      </c>
      <c r="P1716" t="n">
        <v>0.01813</v>
      </c>
      <c r="Q1716" t="n">
        <v>90</v>
      </c>
      <c r="R1716" t="n">
        <v>0.10236</v>
      </c>
      <c r="S1716">
        <f>IMAGE("https://mitra.stanford.edu/kundaje/oak/projects/neuro-variants/variant_position/credible/roussos_2024/variant_figures/roussos_2024.childhood.GLU/rs4335809_count_position.png",4,220,900)</f>
        <v/>
      </c>
      <c r="T1716">
        <f>IMAGE("https://mitra.stanford.edu/kundaje/oak/projects/neuro-variants/variant_position/credible/roussos_2024/variant_figures/roussos_2024.childhood.GLU/rs4335809_profile_position.png",4,220,900)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-0.0386308808</v>
      </c>
      <c r="G1717" t="n">
        <v>0.2594526643837948</v>
      </c>
      <c r="H1717" t="n">
        <v>0.0109428763261947</v>
      </c>
      <c r="I1717" t="n">
        <v>0.5605228089976628</v>
      </c>
      <c r="J1717" t="n">
        <v>0.4661182482203013</v>
      </c>
      <c r="K1717" t="n">
        <v>0.0488517245917489</v>
      </c>
      <c r="L1717" t="b">
        <v>0</v>
      </c>
      <c r="M1717" t="b">
        <v>0</v>
      </c>
      <c r="N1717" t="inlineStr">
        <is>
          <t>ref</t>
        </is>
      </c>
      <c r="O1717" t="n">
        <v>-85</v>
      </c>
      <c r="P1717" t="n">
        <v>0.008330000000000001</v>
      </c>
      <c r="Q1717" t="n">
        <v>100</v>
      </c>
      <c r="R1717" t="n">
        <v>0.08826000000000001</v>
      </c>
      <c r="S1717">
        <f>IMAGE("https://mitra.stanford.edu/kundaje/oak/projects/neuro-variants/variant_position/credible/roussos_2024/variant_figures/roussos_2024.childhood.GLU/rs4523962_count_position.png",4,220,900)</f>
        <v/>
      </c>
      <c r="T1717">
        <f>IMAGE("https://mitra.stanford.edu/kundaje/oak/projects/neuro-variants/variant_position/credible/roussos_2024/variant_figures/roussos_2024.childhood.GLU/rs4523962_profile_position.png",4,220,900)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-0.00233787572</v>
      </c>
      <c r="G1718" t="n">
        <v>0.7135645003603776</v>
      </c>
      <c r="H1718" t="n">
        <v>0.0127351838498698</v>
      </c>
      <c r="I1718" t="n">
        <v>0.3881593083303158</v>
      </c>
      <c r="J1718" t="n">
        <v>0.4915223505413785</v>
      </c>
      <c r="K1718" t="n">
        <v>0.0438269116955413</v>
      </c>
      <c r="L1718" t="b">
        <v>0</v>
      </c>
      <c r="M1718" t="b">
        <v>0</v>
      </c>
      <c r="N1718" t="inlineStr">
        <is>
          <t>ref</t>
        </is>
      </c>
      <c r="O1718" t="n">
        <v>-55</v>
      </c>
      <c r="P1718" t="n">
        <v>0.0001898</v>
      </c>
      <c r="Q1718" t="n">
        <v>50</v>
      </c>
      <c r="R1718" t="n">
        <v>0.01233</v>
      </c>
      <c r="S1718">
        <f>IMAGE("https://mitra.stanford.edu/kundaje/oak/projects/neuro-variants/variant_position/credible/roussos_2024/variant_figures/roussos_2024.childhood.GLU/rs3885074_count_position.png",4,220,900)</f>
        <v/>
      </c>
      <c r="T1718">
        <f>IMAGE("https://mitra.stanford.edu/kundaje/oak/projects/neuro-variants/variant_position/credible/roussos_2024/variant_figures/roussos_2024.childhood.GLU/rs3885074_profile_position.png",4,220,900)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-0.0585835588</v>
      </c>
      <c r="G1719" t="n">
        <v>0.1417512340295307</v>
      </c>
      <c r="H1719" t="n">
        <v>0.0158998161564012</v>
      </c>
      <c r="I1719" t="n">
        <v>0.204813332291229</v>
      </c>
      <c r="J1719" t="n">
        <v>0.3839543820247869</v>
      </c>
      <c r="K1719" t="n">
        <v>0.06891866893555899</v>
      </c>
      <c r="L1719" t="b">
        <v>0</v>
      </c>
      <c r="M1719" t="b">
        <v>0</v>
      </c>
      <c r="N1719" t="inlineStr">
        <is>
          <t>ref</t>
        </is>
      </c>
      <c r="O1719" t="n">
        <v>-40</v>
      </c>
      <c r="P1719" t="n">
        <v>0.002743</v>
      </c>
      <c r="Q1719" t="n">
        <v>100</v>
      </c>
      <c r="R1719" t="n">
        <v>0.001844</v>
      </c>
      <c r="S1719">
        <f>IMAGE("https://mitra.stanford.edu/kundaje/oak/projects/neuro-variants/variant_position/credible/roussos_2024/variant_figures/roussos_2024.childhood.GLU/rs62057147_count_position.png",4,220,900)</f>
        <v/>
      </c>
      <c r="T1719">
        <f>IMAGE("https://mitra.stanford.edu/kundaje/oak/projects/neuro-variants/variant_position/credible/roussos_2024/variant_figures/roussos_2024.childhood.GLU/rs62057147_profile_position.png",4,220,900)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-0.0402840743999999</v>
      </c>
      <c r="G1720" t="n">
        <v>0.2483337931167012</v>
      </c>
      <c r="H1720" t="n">
        <v>0.0102180758380258</v>
      </c>
      <c r="I1720" t="n">
        <v>0.6079114921350862</v>
      </c>
      <c r="J1720" t="n">
        <v>0.3725107400043269</v>
      </c>
      <c r="K1720" t="n">
        <v>0.07229015448355559</v>
      </c>
      <c r="L1720" t="b">
        <v>0</v>
      </c>
      <c r="M1720" t="b">
        <v>0</v>
      </c>
      <c r="N1720" t="inlineStr">
        <is>
          <t>ref</t>
        </is>
      </c>
      <c r="O1720" t="n">
        <v>45</v>
      </c>
      <c r="P1720" t="n">
        <v>0.000785</v>
      </c>
      <c r="Q1720" t="n">
        <v>-35</v>
      </c>
      <c r="R1720" t="n">
        <v>0.05356</v>
      </c>
      <c r="S1720">
        <f>IMAGE("https://mitra.stanford.edu/kundaje/oak/projects/neuro-variants/variant_position/credible/roussos_2024/variant_figures/roussos_2024.childhood.GLU/rs17763050_count_position.png",4,220,900)</f>
        <v/>
      </c>
      <c r="T1720">
        <f>IMAGE("https://mitra.stanford.edu/kundaje/oak/projects/neuro-variants/variant_position/credible/roussos_2024/variant_figures/roussos_2024.childhood.GLU/rs17763050_profile_position.png",4,220,900)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-0.06540712360000001</v>
      </c>
      <c r="G1721" t="n">
        <v>0.1225364439083841</v>
      </c>
      <c r="H1721" t="n">
        <v>0.0137194651166076</v>
      </c>
      <c r="I1721" t="n">
        <v>0.3193079818317283</v>
      </c>
      <c r="J1721" t="n">
        <v>0.3081263457199665</v>
      </c>
      <c r="K1721" t="n">
        <v>0.0946893121069726</v>
      </c>
      <c r="L1721" t="b">
        <v>0</v>
      </c>
      <c r="M1721" t="b">
        <v>0</v>
      </c>
      <c r="N1721" t="inlineStr">
        <is>
          <t>ref</t>
        </is>
      </c>
      <c r="O1721" t="n">
        <v>75</v>
      </c>
      <c r="P1721" t="n">
        <v>0.003056</v>
      </c>
      <c r="Q1721" t="n">
        <v>-90</v>
      </c>
      <c r="R1721" t="n">
        <v>0.0362</v>
      </c>
      <c r="S1721">
        <f>IMAGE("https://mitra.stanford.edu/kundaje/oak/projects/neuro-variants/variant_position/credible/roussos_2024/variant_figures/roussos_2024.childhood.GLU/rs62057150_count_position.png",4,220,900)</f>
        <v/>
      </c>
      <c r="T1721">
        <f>IMAGE("https://mitra.stanford.edu/kundaje/oak/projects/neuro-variants/variant_position/credible/roussos_2024/variant_figures/roussos_2024.childhood.GLU/rs62057150_profile_position.png",4,220,900)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-0.0652159942</v>
      </c>
      <c r="G1722" t="n">
        <v>0.1132193561905825</v>
      </c>
      <c r="H1722" t="n">
        <v>0.0119319994837834</v>
      </c>
      <c r="I1722" t="n">
        <v>0.4476168697210183</v>
      </c>
      <c r="J1722" t="n">
        <v>0.2826089196122265</v>
      </c>
      <c r="K1722" t="n">
        <v>0.105683607616243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0.00721</v>
      </c>
      <c r="Q1722" t="n">
        <v>100</v>
      </c>
      <c r="R1722" t="n">
        <v>0.04462</v>
      </c>
      <c r="S1722">
        <f>IMAGE("https://mitra.stanford.edu/kundaje/oak/projects/neuro-variants/variant_position/credible/roussos_2024/variant_figures/roussos_2024.childhood.GLU/rs62057151_count_position.png",4,220,900)</f>
        <v/>
      </c>
      <c r="T1722">
        <f>IMAGE("https://mitra.stanford.edu/kundaje/oak/projects/neuro-variants/variant_position/credible/roussos_2024/variant_figures/roussos_2024.childhood.GLU/rs62057151_profile_position.png",4,220,900)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0.041114528</v>
      </c>
      <c r="G1723" t="n">
        <v>0.2446649106127113</v>
      </c>
      <c r="H1723" t="n">
        <v>0.0076565677090894</v>
      </c>
      <c r="I1723" t="n">
        <v>0.9031690329500512</v>
      </c>
      <c r="J1723" t="n">
        <v>0.4234487518930223</v>
      </c>
      <c r="K1723" t="n">
        <v>0.0585794694370498</v>
      </c>
      <c r="L1723" t="b">
        <v>0</v>
      </c>
      <c r="M1723" t="b">
        <v>0</v>
      </c>
      <c r="N1723" t="inlineStr">
        <is>
          <t>alt</t>
        </is>
      </c>
      <c r="O1723" t="n">
        <v>-85</v>
      </c>
      <c r="P1723" t="n">
        <v>0.02441</v>
      </c>
      <c r="Q1723" t="n">
        <v>-50</v>
      </c>
      <c r="R1723" t="n">
        <v>0.06726</v>
      </c>
      <c r="S1723">
        <f>IMAGE("https://mitra.stanford.edu/kundaje/oak/projects/neuro-variants/variant_position/credible/roussos_2024/variant_figures/roussos_2024.childhood.GLU/rs62057153_count_position.png",4,220,900)</f>
        <v/>
      </c>
      <c r="T1723">
        <f>IMAGE("https://mitra.stanford.edu/kundaje/oak/projects/neuro-variants/variant_position/credible/roussos_2024/variant_figures/roussos_2024.childhood.GLU/rs62057153_profile_position.png",4,220,900)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0.00958738552</v>
      </c>
      <c r="G1724" t="n">
        <v>0.5854730750832399</v>
      </c>
      <c r="H1724" t="n">
        <v>0.0094620813198721</v>
      </c>
      <c r="I1724" t="n">
        <v>0.6995495709382987</v>
      </c>
      <c r="J1724" t="n">
        <v>0.3990336571646388</v>
      </c>
      <c r="K1724" t="n">
        <v>0.0647654579726538</v>
      </c>
      <c r="L1724" t="b">
        <v>0</v>
      </c>
      <c r="M1724" t="b">
        <v>0</v>
      </c>
      <c r="N1724" t="inlineStr">
        <is>
          <t>alt</t>
        </is>
      </c>
      <c r="O1724" t="n">
        <v>65</v>
      </c>
      <c r="P1724" t="n">
        <v>0.00217</v>
      </c>
      <c r="Q1724" t="n">
        <v>-100</v>
      </c>
      <c r="R1724" t="n">
        <v>0.0887</v>
      </c>
      <c r="S1724">
        <f>IMAGE("https://mitra.stanford.edu/kundaje/oak/projects/neuro-variants/variant_position/credible/roussos_2024/variant_figures/roussos_2024.childhood.GLU/rs62057155_count_position.png",4,220,900)</f>
        <v/>
      </c>
      <c r="T1724">
        <f>IMAGE("https://mitra.stanford.edu/kundaje/oak/projects/neuro-variants/variant_position/credible/roussos_2024/variant_figures/roussos_2024.childhood.GLU/rs62057155_profile_position.png",4,220,900)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0.001892605432</v>
      </c>
      <c r="G1725" t="n">
        <v>0.8182332314626023</v>
      </c>
      <c r="H1725" t="n">
        <v>0.009068140164929199</v>
      </c>
      <c r="I1725" t="n">
        <v>0.7560157642295681</v>
      </c>
      <c r="J1725" t="n">
        <v>0.4573665612412045</v>
      </c>
      <c r="K1725" t="n">
        <v>0.0505136974967819</v>
      </c>
      <c r="L1725" t="b">
        <v>0</v>
      </c>
      <c r="M1725" t="b">
        <v>0</v>
      </c>
      <c r="N1725" t="inlineStr">
        <is>
          <t>alt</t>
        </is>
      </c>
      <c r="O1725" t="n">
        <v>-100</v>
      </c>
      <c r="P1725" t="n">
        <v>0.006992</v>
      </c>
      <c r="Q1725" t="n">
        <v>100</v>
      </c>
      <c r="R1725" t="n">
        <v>0.08704000000000001</v>
      </c>
      <c r="S1725">
        <f>IMAGE("https://mitra.stanford.edu/kundaje/oak/projects/neuro-variants/variant_position/credible/roussos_2024/variant_figures/roussos_2024.childhood.GLU/rs1876829_count_position.png",4,220,900)</f>
        <v/>
      </c>
      <c r="T1725">
        <f>IMAGE("https://mitra.stanford.edu/kundaje/oak/projects/neuro-variants/variant_position/credible/roussos_2024/variant_figures/roussos_2024.childhood.GLU/rs1876829_profile_position.png",4,220,900)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-0.0751256382</v>
      </c>
      <c r="G1726" t="n">
        <v>0.0841157190099551</v>
      </c>
      <c r="H1726" t="n">
        <v>0.0125901122135377</v>
      </c>
      <c r="I1726" t="n">
        <v>0.3985363395173973</v>
      </c>
      <c r="J1726" t="n">
        <v>0.3567587336581948</v>
      </c>
      <c r="K1726" t="n">
        <v>0.0772513856407907</v>
      </c>
      <c r="L1726" t="b">
        <v>0</v>
      </c>
      <c r="M1726" t="b">
        <v>0</v>
      </c>
      <c r="N1726" t="inlineStr">
        <is>
          <t>ref</t>
        </is>
      </c>
      <c r="O1726" t="n">
        <v>75</v>
      </c>
      <c r="P1726" t="n">
        <v>0.0008125</v>
      </c>
      <c r="Q1726" t="n">
        <v>-65</v>
      </c>
      <c r="R1726" t="n">
        <v>0.01985</v>
      </c>
      <c r="S1726">
        <f>IMAGE("https://mitra.stanford.edu/kundaje/oak/projects/neuro-variants/variant_position/credible/roussos_2024/variant_figures/roussos_2024.childhood.GLU/rs878887_count_position.png",4,220,900)</f>
        <v/>
      </c>
      <c r="T1726">
        <f>IMAGE("https://mitra.stanford.edu/kundaje/oak/projects/neuro-variants/variant_position/credible/roussos_2024/variant_figures/roussos_2024.childhood.GLU/rs878887_profile_position.png",4,220,900)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-0.0251236993999999</v>
      </c>
      <c r="G1727" t="n">
        <v>0.2793549544950732</v>
      </c>
      <c r="H1727" t="n">
        <v>0.0178323858101</v>
      </c>
      <c r="I1727" t="n">
        <v>0.1429289062021867</v>
      </c>
      <c r="J1727" t="n">
        <v>0.3889169336643762</v>
      </c>
      <c r="K1727" t="n">
        <v>0.06736746599005559</v>
      </c>
      <c r="L1727" t="b">
        <v>0</v>
      </c>
      <c r="M1727" t="b">
        <v>0</v>
      </c>
      <c r="N1727" t="inlineStr">
        <is>
          <t>ref</t>
        </is>
      </c>
      <c r="O1727" t="n">
        <v>-100</v>
      </c>
      <c r="P1727" t="n">
        <v>0.001499</v>
      </c>
      <c r="Q1727" t="n">
        <v>-90</v>
      </c>
      <c r="R1727" t="n">
        <v>0.1015</v>
      </c>
      <c r="S1727">
        <f>IMAGE("https://mitra.stanford.edu/kundaje/oak/projects/neuro-variants/variant_position/credible/roussos_2024/variant_figures/roussos_2024.childhood.GLU/rs75104593_count_position.png",4,220,900)</f>
        <v/>
      </c>
      <c r="T1727">
        <f>IMAGE("https://mitra.stanford.edu/kundaje/oak/projects/neuro-variants/variant_position/credible/roussos_2024/variant_figures/roussos_2024.childhood.GLU/rs75104593_profile_position.png",4,220,900)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-0.011618828</v>
      </c>
      <c r="G1728" t="n">
        <v>0.2594349657550567</v>
      </c>
      <c r="H1728" t="n">
        <v>0.0182696418796787</v>
      </c>
      <c r="I1728" t="n">
        <v>0.1321527247603427</v>
      </c>
      <c r="J1728" t="n">
        <v>0.3921785982877806</v>
      </c>
      <c r="K1728" t="n">
        <v>0.0664481272015207</v>
      </c>
      <c r="L1728" t="b">
        <v>0</v>
      </c>
      <c r="M1728" t="b">
        <v>0</v>
      </c>
      <c r="N1728" t="inlineStr">
        <is>
          <t>ref</t>
        </is>
      </c>
      <c r="O1728" t="n">
        <v>-95</v>
      </c>
      <c r="P1728" t="n">
        <v>0.001146</v>
      </c>
      <c r="Q1728" t="n">
        <v>-90</v>
      </c>
      <c r="R1728" t="n">
        <v>0.0935</v>
      </c>
      <c r="S1728">
        <f>IMAGE("https://mitra.stanford.edu/kundaje/oak/projects/neuro-variants/variant_position/credible/roussos_2024/variant_figures/roussos_2024.childhood.GLU/rs74998289_count_position.png",4,220,900)</f>
        <v/>
      </c>
      <c r="T1728">
        <f>IMAGE("https://mitra.stanford.edu/kundaje/oak/projects/neuro-variants/variant_position/credible/roussos_2024/variant_figures/roussos_2024.childhood.GLU/rs74998289_profile_position.png",4,220,900)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-0.0458274646</v>
      </c>
      <c r="G1729" t="n">
        <v>0.209691101597747</v>
      </c>
      <c r="H1729" t="n">
        <v>0.0118289644840146</v>
      </c>
      <c r="I1729" t="n">
        <v>0.4655064714367579</v>
      </c>
      <c r="J1729" t="n">
        <v>0.4508360204806989</v>
      </c>
      <c r="K1729" t="n">
        <v>0.0521188002104993</v>
      </c>
      <c r="L1729" t="b">
        <v>0</v>
      </c>
      <c r="M1729" t="b">
        <v>0</v>
      </c>
      <c r="N1729" t="inlineStr">
        <is>
          <t>ref</t>
        </is>
      </c>
      <c r="O1729" t="n">
        <v>95</v>
      </c>
      <c r="P1729" t="n">
        <v>0.003859</v>
      </c>
      <c r="Q1729" t="n">
        <v>30</v>
      </c>
      <c r="R1729" t="n">
        <v>0.0249</v>
      </c>
      <c r="S1729">
        <f>IMAGE("https://mitra.stanford.edu/kundaje/oak/projects/neuro-variants/variant_position/credible/roussos_2024/variant_figures/roussos_2024.childhood.GLU/rs62054804_count_position.png",4,220,900)</f>
        <v/>
      </c>
      <c r="T1729">
        <f>IMAGE("https://mitra.stanford.edu/kundaje/oak/projects/neuro-variants/variant_position/credible/roussos_2024/variant_figures/roussos_2024.childhood.GLU/rs62054804_profile_position.png",4,220,900)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0.0026265472599999</v>
      </c>
      <c r="G1730" t="n">
        <v>0.641665035385364</v>
      </c>
      <c r="H1730" t="n">
        <v>0.0260687330181687</v>
      </c>
      <c r="I1730" t="n">
        <v>0.0365436474305929</v>
      </c>
      <c r="J1730" t="n">
        <v>0.2117939155428724</v>
      </c>
      <c r="K1730" t="n">
        <v>0.1402586083108049</v>
      </c>
      <c r="L1730" t="b">
        <v>0</v>
      </c>
      <c r="M1730" t="b">
        <v>0</v>
      </c>
      <c r="N1730" t="inlineStr">
        <is>
          <t>alt</t>
        </is>
      </c>
      <c r="O1730" t="n">
        <v>-50</v>
      </c>
      <c r="P1730" t="n">
        <v>0.01105</v>
      </c>
      <c r="Q1730" t="n">
        <v>95</v>
      </c>
      <c r="R1730" t="n">
        <v>0.308</v>
      </c>
      <c r="S1730">
        <f>IMAGE("https://mitra.stanford.edu/kundaje/oak/projects/neuro-variants/variant_position/credible/roussos_2024/variant_figures/roussos_2024.childhood.GLU/rs74922289_count_position.png",4,220,900)</f>
        <v/>
      </c>
      <c r="T1730">
        <f>IMAGE("https://mitra.stanford.edu/kundaje/oak/projects/neuro-variants/variant_position/credible/roussos_2024/variant_figures/roussos_2024.childhood.GLU/rs74922289_profile_position.png",4,220,900)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0.06417825000000001</v>
      </c>
      <c r="G1731" t="n">
        <v>0.1119242098615014</v>
      </c>
      <c r="H1731" t="n">
        <v>0.0147696797961439</v>
      </c>
      <c r="I1731" t="n">
        <v>0.2586805240114331</v>
      </c>
      <c r="J1731" t="n">
        <v>0.2587491114384909</v>
      </c>
      <c r="K1731" t="n">
        <v>0.1150005733467083</v>
      </c>
      <c r="L1731" t="b">
        <v>0</v>
      </c>
      <c r="M1731" t="b">
        <v>0</v>
      </c>
      <c r="N1731" t="inlineStr">
        <is>
          <t>alt</t>
        </is>
      </c>
      <c r="O1731" t="n">
        <v>25</v>
      </c>
      <c r="P1731" t="n">
        <v>0.000351</v>
      </c>
      <c r="Q1731" t="n">
        <v>90</v>
      </c>
      <c r="R1731" t="n">
        <v>0.06665</v>
      </c>
      <c r="S1731">
        <f>IMAGE("https://mitra.stanford.edu/kundaje/oak/projects/neuro-variants/variant_position/credible/roussos_2024/variant_figures/roussos_2024.childhood.GLU/rs56971664_count_position.png",4,220,900)</f>
        <v/>
      </c>
      <c r="T1731">
        <f>IMAGE("https://mitra.stanford.edu/kundaje/oak/projects/neuro-variants/variant_position/credible/roussos_2024/variant_figures/roussos_2024.childhood.GLU/rs56971664_profile_position.png",4,220,900)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0.203912584</v>
      </c>
      <c r="G1732" t="n">
        <v>0.0075592545219382</v>
      </c>
      <c r="H1732" t="n">
        <v>0.0573218090302233</v>
      </c>
      <c r="I1732" t="n">
        <v>0.0016993517964631</v>
      </c>
      <c r="J1732" t="n">
        <v>0.0764410149690419</v>
      </c>
      <c r="K1732" t="n">
        <v>0.2853552001271429</v>
      </c>
      <c r="L1732" t="b">
        <v>1</v>
      </c>
      <c r="M1732" t="b">
        <v>1</v>
      </c>
      <c r="N1732" t="inlineStr">
        <is>
          <t>alt</t>
        </is>
      </c>
      <c r="O1732" t="n">
        <v>-40</v>
      </c>
      <c r="P1732" t="n">
        <v>0.001923</v>
      </c>
      <c r="Q1732" t="n">
        <v>-40</v>
      </c>
      <c r="R1732" t="n">
        <v>0.0221</v>
      </c>
      <c r="S1732">
        <f>IMAGE("https://mitra.stanford.edu/kundaje/oak/projects/neuro-variants/variant_position/credible/roussos_2024/variant_figures/roussos_2024.childhood.GLU/rs17763596_count_position.png",4,220,900)</f>
        <v/>
      </c>
      <c r="T1732">
        <f>IMAGE("https://mitra.stanford.edu/kundaje/oak/projects/neuro-variants/variant_position/credible/roussos_2024/variant_figures/roussos_2024.childhood.GLU/rs17763596_profile_position.png",4,220,900)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-0.1026472232</v>
      </c>
      <c r="G1733" t="n">
        <v>0.0439382263461366</v>
      </c>
      <c r="H1733" t="n">
        <v>0.015327104835976</v>
      </c>
      <c r="I1733" t="n">
        <v>0.2320980400772584</v>
      </c>
      <c r="J1733" t="n">
        <v>0.5032802085157675</v>
      </c>
      <c r="K1733" t="n">
        <v>0.0415747102576213</v>
      </c>
      <c r="L1733" t="b">
        <v>0</v>
      </c>
      <c r="M1733" t="b">
        <v>0</v>
      </c>
      <c r="N1733" t="inlineStr">
        <is>
          <t>ref</t>
        </is>
      </c>
      <c r="O1733" t="n">
        <v>100</v>
      </c>
      <c r="P1733" t="n">
        <v>0.00452</v>
      </c>
      <c r="Q1733" t="n">
        <v>10</v>
      </c>
      <c r="R1733" t="n">
        <v>0.002441</v>
      </c>
      <c r="S1733">
        <f>IMAGE("https://mitra.stanford.edu/kundaje/oak/projects/neuro-variants/variant_position/credible/roussos_2024/variant_figures/roussos_2024.childhood.GLU/rs62054815_count_position.png",4,220,900)</f>
        <v/>
      </c>
      <c r="T1733">
        <f>IMAGE("https://mitra.stanford.edu/kundaje/oak/projects/neuro-variants/variant_position/credible/roussos_2024/variant_figures/roussos_2024.childhood.GLU/rs62054815_profile_position.png",4,220,900)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0.0838040588</v>
      </c>
      <c r="G1734" t="n">
        <v>0.0744524858268422</v>
      </c>
      <c r="H1734" t="n">
        <v>0.0158740000716179</v>
      </c>
      <c r="I1734" t="n">
        <v>0.2088509517532224</v>
      </c>
      <c r="J1734" t="n">
        <v>0.4835876250424964</v>
      </c>
      <c r="K1734" t="n">
        <v>0.0452754405951445</v>
      </c>
      <c r="L1734" t="b">
        <v>0</v>
      </c>
      <c r="M1734" t="b">
        <v>0</v>
      </c>
      <c r="N1734" t="inlineStr">
        <is>
          <t>alt</t>
        </is>
      </c>
      <c r="O1734" t="n">
        <v>25</v>
      </c>
      <c r="P1734" t="n">
        <v>0.0012865</v>
      </c>
      <c r="Q1734" t="n">
        <v>25</v>
      </c>
      <c r="R1734" t="n">
        <v>0.07199999999999999</v>
      </c>
      <c r="S1734">
        <f>IMAGE("https://mitra.stanford.edu/kundaje/oak/projects/neuro-variants/variant_position/credible/roussos_2024/variant_figures/roussos_2024.childhood.GLU/rs11079725_count_position.png",4,220,900)</f>
        <v/>
      </c>
      <c r="T1734">
        <f>IMAGE("https://mitra.stanford.edu/kundaje/oak/projects/neuro-variants/variant_position/credible/roussos_2024/variant_figures/roussos_2024.childhood.GLU/rs11079725_profile_position.png",4,220,900)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0.01521367988</v>
      </c>
      <c r="G1735" t="n">
        <v>0.5376303329656359</v>
      </c>
      <c r="H1735" t="n">
        <v>0.008235681944501701</v>
      </c>
      <c r="I1735" t="n">
        <v>0.817885002243964</v>
      </c>
      <c r="J1735" t="n">
        <v>0.4308251001885296</v>
      </c>
      <c r="K1735" t="n">
        <v>0.0566185129245112</v>
      </c>
      <c r="L1735" t="b">
        <v>0</v>
      </c>
      <c r="M1735" t="b">
        <v>0</v>
      </c>
      <c r="N1735" t="inlineStr">
        <is>
          <t>alt</t>
        </is>
      </c>
      <c r="O1735" t="n">
        <v>45</v>
      </c>
      <c r="P1735" t="n">
        <v>0.009990000000000001</v>
      </c>
      <c r="Q1735" t="n">
        <v>20</v>
      </c>
      <c r="R1735" t="n">
        <v>0.03088</v>
      </c>
      <c r="S1735">
        <f>IMAGE("https://mitra.stanford.edu/kundaje/oak/projects/neuro-variants/variant_position/credible/roussos_2024/variant_figures/roussos_2024.childhood.GLU/rs55943825_count_position.png",4,220,900)</f>
        <v/>
      </c>
      <c r="T1735">
        <f>IMAGE("https://mitra.stanford.edu/kundaje/oak/projects/neuro-variants/variant_position/credible/roussos_2024/variant_figures/roussos_2024.childhood.GLU/rs55943825_profile_position.png",4,220,900)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0.0544645991</v>
      </c>
      <c r="G1736" t="n">
        <v>0.1736153028614651</v>
      </c>
      <c r="H1736" t="n">
        <v>0.0354705590290796</v>
      </c>
      <c r="I1736" t="n">
        <v>0.0152482063204765</v>
      </c>
      <c r="J1736" t="n">
        <v>0.4212131826470376</v>
      </c>
      <c r="K1736" t="n">
        <v>0.059166030145752</v>
      </c>
      <c r="L1736" t="b">
        <v>1</v>
      </c>
      <c r="M1736" t="b">
        <v>0</v>
      </c>
      <c r="N1736" t="inlineStr">
        <is>
          <t>alt</t>
        </is>
      </c>
      <c r="O1736" t="n">
        <v>-5</v>
      </c>
      <c r="P1736" t="n">
        <v>0.0001717</v>
      </c>
      <c r="Q1736" t="n">
        <v>-95</v>
      </c>
      <c r="R1736" t="n">
        <v>0.1316</v>
      </c>
      <c r="S1736">
        <f>IMAGE("https://mitra.stanford.edu/kundaje/oak/projects/neuro-variants/variant_position/credible/roussos_2024/variant_figures/roussos_2024.childhood.GLU/rs62054817_count_position.png",4,220,900)</f>
        <v/>
      </c>
      <c r="T1736">
        <f>IMAGE("https://mitra.stanford.edu/kundaje/oak/projects/neuro-variants/variant_position/credible/roussos_2024/variant_figures/roussos_2024.childhood.GLU/rs62054817_profile_position.png",4,220,900)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0.030595989</v>
      </c>
      <c r="G1737" t="n">
        <v>0.3242787667209351</v>
      </c>
      <c r="H1737" t="n">
        <v>0.010358040818605</v>
      </c>
      <c r="I1737" t="n">
        <v>0.6140620881202155</v>
      </c>
      <c r="J1737" t="n">
        <v>0.6287440633789032</v>
      </c>
      <c r="K1737" t="n">
        <v>0.0224579096329885</v>
      </c>
      <c r="L1737" t="b">
        <v>0</v>
      </c>
      <c r="M1737" t="b">
        <v>0</v>
      </c>
      <c r="N1737" t="inlineStr">
        <is>
          <t>alt</t>
        </is>
      </c>
      <c r="O1737" t="n">
        <v>95</v>
      </c>
      <c r="P1737" t="n">
        <v>0.04675</v>
      </c>
      <c r="Q1737" t="n">
        <v>90</v>
      </c>
      <c r="R1737" t="n">
        <v>0.1531</v>
      </c>
      <c r="S1737">
        <f>IMAGE("https://mitra.stanford.edu/kundaje/oak/projects/neuro-variants/variant_position/credible/roussos_2024/variant_figures/roussos_2024.childhood.GLU/rs62054824_count_position.png",4,220,900)</f>
        <v/>
      </c>
      <c r="T1737">
        <f>IMAGE("https://mitra.stanford.edu/kundaje/oak/projects/neuro-variants/variant_position/credible/roussos_2024/variant_figures/roussos_2024.childhood.GLU/rs62054824_profile_position.png",4,220,900)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-0.321433544</v>
      </c>
      <c r="G1738" t="n">
        <v>0.0018001858495689</v>
      </c>
      <c r="H1738" t="n">
        <v>0.0329819023351933</v>
      </c>
      <c r="I1738" t="n">
        <v>0.0146411302419445</v>
      </c>
      <c r="J1738" t="n">
        <v>0.6266310898657629</v>
      </c>
      <c r="K1738" t="n">
        <v>0.0226011592847593</v>
      </c>
      <c r="L1738" t="b">
        <v>1</v>
      </c>
      <c r="M1738" t="b">
        <v>1</v>
      </c>
      <c r="N1738" t="inlineStr">
        <is>
          <t>ref</t>
        </is>
      </c>
      <c r="O1738" t="n">
        <v>100</v>
      </c>
      <c r="P1738" t="n">
        <v>0.2546</v>
      </c>
      <c r="Q1738" t="n">
        <v>100</v>
      </c>
      <c r="R1738" t="n">
        <v>0.5396</v>
      </c>
      <c r="S1738">
        <f>IMAGE("https://mitra.stanford.edu/kundaje/oak/projects/neuro-variants/variant_position/credible/roussos_2024/variant_figures/roussos_2024.childhood.GLU/rs62054825_count_position.png",4,220,900)</f>
        <v/>
      </c>
      <c r="T1738">
        <f>IMAGE("https://mitra.stanford.edu/kundaje/oak/projects/neuro-variants/variant_position/credible/roussos_2024/variant_figures/roussos_2024.childhood.GLU/rs62054825_profile_position.png",4,220,900)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0.1030679789999999</v>
      </c>
      <c r="G1739" t="n">
        <v>0.0440342173048864</v>
      </c>
      <c r="H1739" t="n">
        <v>0.0290335436773873</v>
      </c>
      <c r="I1739" t="n">
        <v>0.0248862109497993</v>
      </c>
      <c r="J1739" t="n">
        <v>0.126359112777772</v>
      </c>
      <c r="K1739" t="n">
        <v>0.2142641843200605</v>
      </c>
      <c r="L1739" t="b">
        <v>0</v>
      </c>
      <c r="M1739" t="b">
        <v>0</v>
      </c>
      <c r="N1739" t="inlineStr">
        <is>
          <t>alt</t>
        </is>
      </c>
      <c r="O1739" t="n">
        <v>70</v>
      </c>
      <c r="P1739" t="n">
        <v>0.002594</v>
      </c>
      <c r="Q1739" t="n">
        <v>100</v>
      </c>
      <c r="R1739" t="n">
        <v>0.06304999999999999</v>
      </c>
      <c r="S1739">
        <f>IMAGE("https://mitra.stanford.edu/kundaje/oak/projects/neuro-variants/variant_position/credible/roussos_2024/variant_figures/roussos_2024.childhood.GLU/rs56026128_count_position.png",4,220,900)</f>
        <v/>
      </c>
      <c r="T1739">
        <f>IMAGE("https://mitra.stanford.edu/kundaje/oak/projects/neuro-variants/variant_position/credible/roussos_2024/variant_figures/roussos_2024.childhood.GLU/rs56026128_profile_position.png",4,220,900)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0.02901782864</v>
      </c>
      <c r="G1740" t="n">
        <v>0.3398013785127649</v>
      </c>
      <c r="H1740" t="n">
        <v>0.0223385974354191</v>
      </c>
      <c r="I1740" t="n">
        <v>0.0696685321113986</v>
      </c>
      <c r="J1740" t="n">
        <v>0.1059587707459795</v>
      </c>
      <c r="K1740" t="n">
        <v>0.2397729732715135</v>
      </c>
      <c r="L1740" t="b">
        <v>0</v>
      </c>
      <c r="M1740" t="b">
        <v>0</v>
      </c>
      <c r="N1740" t="inlineStr">
        <is>
          <t>alt</t>
        </is>
      </c>
      <c r="O1740" t="n">
        <v>60</v>
      </c>
      <c r="P1740" t="n">
        <v>0.003578</v>
      </c>
      <c r="Q1740" t="n">
        <v>100</v>
      </c>
      <c r="R1740" t="n">
        <v>0.05948</v>
      </c>
      <c r="S1740">
        <f>IMAGE("https://mitra.stanford.edu/kundaje/oak/projects/neuro-variants/variant_position/credible/roussos_2024/variant_figures/roussos_2024.childhood.GLU/rs56329743_count_position.png",4,220,900)</f>
        <v/>
      </c>
      <c r="T1740">
        <f>IMAGE("https://mitra.stanford.edu/kundaje/oak/projects/neuro-variants/variant_position/credible/roussos_2024/variant_figures/roussos_2024.childhood.GLU/rs56329743_profile_position.png",4,220,900)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0.020646277</v>
      </c>
      <c r="G1741" t="n">
        <v>0.4312505125886939</v>
      </c>
      <c r="H1741" t="n">
        <v>0.0114773012676725</v>
      </c>
      <c r="I1741" t="n">
        <v>0.5038695078140083</v>
      </c>
      <c r="J1741" t="n">
        <v>0.0336478926926761</v>
      </c>
      <c r="K1741" t="n">
        <v>0.4108248109557769</v>
      </c>
      <c r="L1741" t="b">
        <v>0</v>
      </c>
      <c r="M1741" t="b">
        <v>0</v>
      </c>
      <c r="N1741" t="inlineStr">
        <is>
          <t>alt</t>
        </is>
      </c>
      <c r="O1741" t="n">
        <v>-75</v>
      </c>
      <c r="P1741" t="n">
        <v>0.006462</v>
      </c>
      <c r="Q1741" t="n">
        <v>100</v>
      </c>
      <c r="R1741" t="n">
        <v>0.1086</v>
      </c>
      <c r="S1741">
        <f>IMAGE("https://mitra.stanford.edu/kundaje/oak/projects/neuro-variants/variant_position/credible/roussos_2024/variant_figures/roussos_2024.childhood.GLU/rs62054844_count_position.png",4,220,900)</f>
        <v/>
      </c>
      <c r="T1741">
        <f>IMAGE("https://mitra.stanford.edu/kundaje/oak/projects/neuro-variants/variant_position/credible/roussos_2024/variant_figures/roussos_2024.childhood.GLU/rs62054844_profile_position.png",4,220,900)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-0.142034056</v>
      </c>
      <c r="G1742" t="n">
        <v>0.0203518790616268</v>
      </c>
      <c r="H1742" t="n">
        <v>0.0195106081599168</v>
      </c>
      <c r="I1742" t="n">
        <v>0.1121098363836641</v>
      </c>
      <c r="J1742" t="n">
        <v>0.0292735945274912</v>
      </c>
      <c r="K1742" t="n">
        <v>0.4329922235942176</v>
      </c>
      <c r="L1742" t="b">
        <v>0</v>
      </c>
      <c r="M1742" t="b">
        <v>0</v>
      </c>
      <c r="N1742" t="inlineStr">
        <is>
          <t>ref</t>
        </is>
      </c>
      <c r="O1742" t="n">
        <v>100</v>
      </c>
      <c r="P1742" t="n">
        <v>0.001289</v>
      </c>
      <c r="Q1742" t="n">
        <v>75</v>
      </c>
      <c r="R1742" t="n">
        <v>0.0677</v>
      </c>
      <c r="S1742">
        <f>IMAGE("https://mitra.stanford.edu/kundaje/oak/projects/neuro-variants/variant_position/credible/roussos_2024/variant_figures/roussos_2024.childhood.GLU/rs76627340_count_position.png",4,220,900)</f>
        <v/>
      </c>
      <c r="T1742">
        <f>IMAGE("https://mitra.stanford.edu/kundaje/oak/projects/neuro-variants/variant_position/credible/roussos_2024/variant_figures/roussos_2024.childhood.GLU/rs76627340_profile_position.png",4,220,900)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0.06463023059999989</v>
      </c>
      <c r="G1743" t="n">
        <v>0.1137271385945703</v>
      </c>
      <c r="H1743" t="n">
        <v>0.0110181568072093</v>
      </c>
      <c r="I1743" t="n">
        <v>0.5490736396926315</v>
      </c>
      <c r="J1743" t="n">
        <v>0.5129220023282887</v>
      </c>
      <c r="K1743" t="n">
        <v>0.040035351350908</v>
      </c>
      <c r="L1743" t="b">
        <v>0</v>
      </c>
      <c r="M1743" t="b">
        <v>0</v>
      </c>
      <c r="N1743" t="inlineStr">
        <is>
          <t>alt</t>
        </is>
      </c>
      <c r="O1743" t="n">
        <v>70</v>
      </c>
      <c r="P1743" t="n">
        <v>0.005627</v>
      </c>
      <c r="Q1743" t="n">
        <v>-45</v>
      </c>
      <c r="R1743" t="n">
        <v>0.2354</v>
      </c>
      <c r="S1743">
        <f>IMAGE("https://mitra.stanford.edu/kundaje/oak/projects/neuro-variants/variant_position/credible/roussos_2024/variant_figures/roussos_2024.childhood.GLU/rs62054846_count_position.png",4,220,900)</f>
        <v/>
      </c>
      <c r="T1743">
        <f>IMAGE("https://mitra.stanford.edu/kundaje/oak/projects/neuro-variants/variant_position/credible/roussos_2024/variant_figures/roussos_2024.childhood.GLU/rs62054846_profile_position.png",4,220,900)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-0.0054494895</v>
      </c>
      <c r="G1744" t="n">
        <v>0.5975791765315196</v>
      </c>
      <c r="H1744" t="n">
        <v>0.0114496147315323</v>
      </c>
      <c r="I1744" t="n">
        <v>0.499725832068298</v>
      </c>
      <c r="J1744" t="n">
        <v>0.3905065573263828</v>
      </c>
      <c r="K1744" t="n">
        <v>0.0676501237356545</v>
      </c>
      <c r="L1744" t="b">
        <v>0</v>
      </c>
      <c r="M1744" t="b">
        <v>0</v>
      </c>
      <c r="N1744" t="inlineStr">
        <is>
          <t>ref</t>
        </is>
      </c>
      <c r="O1744" t="n">
        <v>-90</v>
      </c>
      <c r="P1744" t="n">
        <v>0.006012</v>
      </c>
      <c r="Q1744" t="n">
        <v>-100</v>
      </c>
      <c r="R1744" t="n">
        <v>0.1807</v>
      </c>
      <c r="S1744">
        <f>IMAGE("https://mitra.stanford.edu/kundaje/oak/projects/neuro-variants/variant_position/credible/roussos_2024/variant_figures/roussos_2024.childhood.GLU/rs56227067_count_position.png",4,220,900)</f>
        <v/>
      </c>
      <c r="T1744">
        <f>IMAGE("https://mitra.stanford.edu/kundaje/oak/projects/neuro-variants/variant_position/credible/roussos_2024/variant_figures/roussos_2024.childhood.GLU/rs56227067_profile_position.png",4,220,900)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-0.169137817</v>
      </c>
      <c r="G1745" t="n">
        <v>0.01223056932899</v>
      </c>
      <c r="H1745" t="n">
        <v>0.0225778141557053</v>
      </c>
      <c r="I1745" t="n">
        <v>0.0637935625333854</v>
      </c>
      <c r="J1745" t="n">
        <v>0.3668249765625804</v>
      </c>
      <c r="K1745" t="n">
        <v>0.0752744577505951</v>
      </c>
      <c r="L1745" t="b">
        <v>1</v>
      </c>
      <c r="M1745" t="b">
        <v>0</v>
      </c>
      <c r="N1745" t="inlineStr">
        <is>
          <t>ref</t>
        </is>
      </c>
      <c r="O1745" t="n">
        <v>-50</v>
      </c>
      <c r="P1745" t="n">
        <v>0.007965</v>
      </c>
      <c r="Q1745" t="n">
        <v>-85</v>
      </c>
      <c r="R1745" t="n">
        <v>0.3264</v>
      </c>
      <c r="S1745">
        <f>IMAGE("https://mitra.stanford.edu/kundaje/oak/projects/neuro-variants/variant_position/credible/roussos_2024/variant_figures/roussos_2024.childhood.GLU/rs55719714_count_position.png",4,220,900)</f>
        <v/>
      </c>
      <c r="T1745">
        <f>IMAGE("https://mitra.stanford.edu/kundaje/oak/projects/neuro-variants/variant_position/credible/roussos_2024/variant_figures/roussos_2024.childhood.GLU/rs55719714_profile_position.png",4,220,900)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-0.02338729868</v>
      </c>
      <c r="G1746" t="n">
        <v>0.425072919975248</v>
      </c>
      <c r="H1746" t="n">
        <v>0.0105068248829438</v>
      </c>
      <c r="I1746" t="n">
        <v>0.6083684036784233</v>
      </c>
      <c r="J1746" t="n">
        <v>0.0414826872160466</v>
      </c>
      <c r="K1746" t="n">
        <v>0.3905061082058503</v>
      </c>
      <c r="L1746" t="b">
        <v>0</v>
      </c>
      <c r="M1746" t="b">
        <v>0</v>
      </c>
      <c r="N1746" t="inlineStr">
        <is>
          <t>ref</t>
        </is>
      </c>
      <c r="O1746" t="n">
        <v>85</v>
      </c>
      <c r="P1746" t="n">
        <v>0.004498</v>
      </c>
      <c r="Q1746" t="n">
        <v>75</v>
      </c>
      <c r="R1746" t="n">
        <v>0.10406</v>
      </c>
      <c r="S1746">
        <f>IMAGE("https://mitra.stanford.edu/kundaje/oak/projects/neuro-variants/variant_position/credible/roussos_2024/variant_figures/roussos_2024.childhood.GLU/rs62054859_count_position.png",4,220,900)</f>
        <v/>
      </c>
      <c r="T1746">
        <f>IMAGE("https://mitra.stanford.edu/kundaje/oak/projects/neuro-variants/variant_position/credible/roussos_2024/variant_figures/roussos_2024.childhood.GLU/rs62054859_profile_position.png",4,220,900)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0.011149293826</v>
      </c>
      <c r="G1747" t="n">
        <v>0.4805286046853178</v>
      </c>
      <c r="H1747" t="n">
        <v>0.0217474788245602</v>
      </c>
      <c r="I1747" t="n">
        <v>0.0761898311244095</v>
      </c>
      <c r="J1747" t="n">
        <v>0.0665457879608929</v>
      </c>
      <c r="K1747" t="n">
        <v>0.3050814933995922</v>
      </c>
      <c r="L1747" t="b">
        <v>0</v>
      </c>
      <c r="M1747" t="b">
        <v>0</v>
      </c>
      <c r="N1747" t="inlineStr">
        <is>
          <t>alt</t>
        </is>
      </c>
      <c r="O1747" t="n">
        <v>40</v>
      </c>
      <c r="P1747" t="n">
        <v>0.0009155</v>
      </c>
      <c r="Q1747" t="n">
        <v>-10</v>
      </c>
      <c r="R1747" t="n">
        <v>0.008545000000000001</v>
      </c>
      <c r="S1747">
        <f>IMAGE("https://mitra.stanford.edu/kundaje/oak/projects/neuro-variants/variant_position/credible/roussos_2024/variant_figures/roussos_2024.childhood.GLU/rs62055469_count_position.png",4,220,900)</f>
        <v/>
      </c>
      <c r="T1747">
        <f>IMAGE("https://mitra.stanford.edu/kundaje/oak/projects/neuro-variants/variant_position/credible/roussos_2024/variant_figures/roussos_2024.childhood.GLU/rs62055469_profile_position.png",4,220,900)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0.062977043</v>
      </c>
      <c r="G1748" t="n">
        <v>0.1189902326730315</v>
      </c>
      <c r="H1748" t="n">
        <v>0.0126806794498775</v>
      </c>
      <c r="I1748" t="n">
        <v>0.3939373553073533</v>
      </c>
      <c r="J1748" t="n">
        <v>0.0466770375101733</v>
      </c>
      <c r="K1748" t="n">
        <v>0.3647638114022039</v>
      </c>
      <c r="L1748" t="b">
        <v>0</v>
      </c>
      <c r="M1748" t="b">
        <v>0</v>
      </c>
      <c r="N1748" t="inlineStr">
        <is>
          <t>alt</t>
        </is>
      </c>
      <c r="O1748" t="n">
        <v>70</v>
      </c>
      <c r="P1748" t="n">
        <v>0.01018</v>
      </c>
      <c r="Q1748" t="n">
        <v>-90</v>
      </c>
      <c r="R1748" t="n">
        <v>0.03534</v>
      </c>
      <c r="S1748">
        <f>IMAGE("https://mitra.stanford.edu/kundaje/oak/projects/neuro-variants/variant_position/credible/roussos_2024/variant_figures/roussos_2024.childhood.GLU/rs56327054_count_position.png",4,220,900)</f>
        <v/>
      </c>
      <c r="T1748">
        <f>IMAGE("https://mitra.stanford.edu/kundaje/oak/projects/neuro-variants/variant_position/credible/roussos_2024/variant_figures/roussos_2024.childhood.GLU/rs56327054_profile_position.png",4,220,900)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0.0463022156</v>
      </c>
      <c r="G1749" t="n">
        <v>0.1997701556588127</v>
      </c>
      <c r="H1749" t="n">
        <v>0.0116841975688918</v>
      </c>
      <c r="I1749" t="n">
        <v>0.4758343633457334</v>
      </c>
      <c r="J1749" t="n">
        <v>0.4507958420472456</v>
      </c>
      <c r="K1749" t="n">
        <v>0.0516111501334916</v>
      </c>
      <c r="L1749" t="b">
        <v>0</v>
      </c>
      <c r="M1749" t="b">
        <v>0</v>
      </c>
      <c r="N1749" t="inlineStr">
        <is>
          <t>alt</t>
        </is>
      </c>
      <c r="O1749" t="n">
        <v>100</v>
      </c>
      <c r="P1749" t="n">
        <v>0.01387</v>
      </c>
      <c r="Q1749" t="n">
        <v>100</v>
      </c>
      <c r="R1749" t="n">
        <v>0.1475</v>
      </c>
      <c r="S1749">
        <f>IMAGE("https://mitra.stanford.edu/kundaje/oak/projects/neuro-variants/variant_position/credible/roussos_2024/variant_figures/roussos_2024.childhood.GLU/rs62055475_count_position.png",4,220,900)</f>
        <v/>
      </c>
      <c r="T1749">
        <f>IMAGE("https://mitra.stanford.edu/kundaje/oak/projects/neuro-variants/variant_position/credible/roussos_2024/variant_figures/roussos_2024.childhood.GLU/rs62055475_profile_position.png",4,220,900)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0.0999511654</v>
      </c>
      <c r="G1750" t="n">
        <v>0.050240445134262</v>
      </c>
      <c r="H1750" t="n">
        <v>0.0218772637003569</v>
      </c>
      <c r="I1750" t="n">
        <v>0.0788313068737527</v>
      </c>
      <c r="J1750" t="n">
        <v>0.3876332842263591</v>
      </c>
      <c r="K1750" t="n">
        <v>0.06803189968435711</v>
      </c>
      <c r="L1750" t="b">
        <v>0</v>
      </c>
      <c r="M1750" t="b">
        <v>0</v>
      </c>
      <c r="N1750" t="inlineStr">
        <is>
          <t>alt</t>
        </is>
      </c>
      <c r="O1750" t="n">
        <v>-45</v>
      </c>
      <c r="P1750" t="n">
        <v>0.006317</v>
      </c>
      <c r="Q1750" t="n">
        <v>40</v>
      </c>
      <c r="R1750" t="n">
        <v>0.0337</v>
      </c>
      <c r="S1750">
        <f>IMAGE("https://mitra.stanford.edu/kundaje/oak/projects/neuro-variants/variant_position/credible/roussos_2024/variant_figures/roussos_2024.childhood.GLU/rs56289364_count_position.png",4,220,900)</f>
        <v/>
      </c>
      <c r="T1750">
        <f>IMAGE("https://mitra.stanford.edu/kundaje/oak/projects/neuro-variants/variant_position/credible/roussos_2024/variant_figures/roussos_2024.childhood.GLU/rs56289364_profile_position.png",4,220,900)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0.0268725527999999</v>
      </c>
      <c r="G1751" t="n">
        <v>0.3490566545373104</v>
      </c>
      <c r="H1751" t="n">
        <v>0.0122687239634325</v>
      </c>
      <c r="I1751" t="n">
        <v>0.4330730700342984</v>
      </c>
      <c r="J1751" t="n">
        <v>0.1719616347471333</v>
      </c>
      <c r="K1751" t="n">
        <v>0.1721827415616276</v>
      </c>
      <c r="L1751" t="b">
        <v>0</v>
      </c>
      <c r="M1751" t="b">
        <v>0</v>
      </c>
      <c r="N1751" t="inlineStr">
        <is>
          <t>alt</t>
        </is>
      </c>
      <c r="O1751" t="n">
        <v>-100</v>
      </c>
      <c r="P1751" t="n">
        <v>0.01033</v>
      </c>
      <c r="Q1751" t="n">
        <v>60</v>
      </c>
      <c r="R1751" t="n">
        <v>0.1445</v>
      </c>
      <c r="S1751">
        <f>IMAGE("https://mitra.stanford.edu/kundaje/oak/projects/neuro-variants/variant_position/credible/roussos_2024/variant_figures/roussos_2024.childhood.GLU/rs34416056_count_position.png",4,220,900)</f>
        <v/>
      </c>
      <c r="T1751">
        <f>IMAGE("https://mitra.stanford.edu/kundaje/oak/projects/neuro-variants/variant_position/credible/roussos_2024/variant_figures/roussos_2024.childhood.GLU/rs34416056_profile_position.png",4,220,900)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0.142648124</v>
      </c>
      <c r="G1752" t="n">
        <v>0.0192556884958351</v>
      </c>
      <c r="H1752" t="n">
        <v>0.0232703806065922</v>
      </c>
      <c r="I1752" t="n">
        <v>0.063827468064031</v>
      </c>
      <c r="J1752" t="n">
        <v>0.0202983506237958</v>
      </c>
      <c r="K1752" t="n">
        <v>0.4932135024269979</v>
      </c>
      <c r="L1752" t="b">
        <v>1</v>
      </c>
      <c r="M1752" t="b">
        <v>0</v>
      </c>
      <c r="N1752" t="inlineStr">
        <is>
          <t>alt</t>
        </is>
      </c>
      <c r="O1752" t="n">
        <v>-75</v>
      </c>
      <c r="P1752" t="n">
        <v>0.007355</v>
      </c>
      <c r="Q1752" t="n">
        <v>60</v>
      </c>
      <c r="R1752" t="n">
        <v>0.0534</v>
      </c>
      <c r="S1752">
        <f>IMAGE("https://mitra.stanford.edu/kundaje/oak/projects/neuro-variants/variant_position/credible/roussos_2024/variant_figures/roussos_2024.childhood.GLU/rs62055497_count_position.png",4,220,900)</f>
        <v/>
      </c>
      <c r="T1752">
        <f>IMAGE("https://mitra.stanford.edu/kundaje/oak/projects/neuro-variants/variant_position/credible/roussos_2024/variant_figures/roussos_2024.childhood.GLU/rs62055497_profile_position.png",4,220,900)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0.01612058424</v>
      </c>
      <c r="G1753" t="n">
        <v>0.4160540688350794</v>
      </c>
      <c r="H1753" t="n">
        <v>0.0106790461470603</v>
      </c>
      <c r="I1753" t="n">
        <v>0.5852468837495538</v>
      </c>
      <c r="J1753" t="n">
        <v>0.0812892126057258</v>
      </c>
      <c r="K1753" t="n">
        <v>0.2766307537485543</v>
      </c>
      <c r="L1753" t="b">
        <v>0</v>
      </c>
      <c r="M1753" t="b">
        <v>0</v>
      </c>
      <c r="N1753" t="inlineStr">
        <is>
          <t>alt</t>
        </is>
      </c>
      <c r="O1753" t="n">
        <v>-100</v>
      </c>
      <c r="P1753" t="n">
        <v>0.00569</v>
      </c>
      <c r="Q1753" t="n">
        <v>-100</v>
      </c>
      <c r="R1753" t="n">
        <v>0.08295</v>
      </c>
      <c r="S1753">
        <f>IMAGE("https://mitra.stanford.edu/kundaje/oak/projects/neuro-variants/variant_position/credible/roussos_2024/variant_figures/roussos_2024.childhood.GLU/rs55905252_count_position.png",4,220,900)</f>
        <v/>
      </c>
      <c r="T1753">
        <f>IMAGE("https://mitra.stanford.edu/kundaje/oak/projects/neuro-variants/variant_position/credible/roussos_2024/variant_figures/roussos_2024.childhood.GLU/rs55905252_profile_position.png",4,220,900)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0.00899686274</v>
      </c>
      <c r="G1754" t="n">
        <v>0.6712756114742738</v>
      </c>
      <c r="H1754" t="n">
        <v>0.0263116640706949</v>
      </c>
      <c r="I1754" t="n">
        <v>0.0357876959821315</v>
      </c>
      <c r="J1754" t="n">
        <v>0.0023736182224648</v>
      </c>
      <c r="K1754" t="n">
        <v>0.7518332289084557</v>
      </c>
      <c r="L1754" t="b">
        <v>0</v>
      </c>
      <c r="M1754" t="b">
        <v>0</v>
      </c>
      <c r="N1754" t="inlineStr">
        <is>
          <t>alt</t>
        </is>
      </c>
      <c r="O1754" t="n">
        <v>55</v>
      </c>
      <c r="P1754" t="n">
        <v>0.00595</v>
      </c>
      <c r="Q1754" t="n">
        <v>-70</v>
      </c>
      <c r="R1754" t="n">
        <v>0.07324</v>
      </c>
      <c r="S1754">
        <f>IMAGE("https://mitra.stanford.edu/kundaje/oak/projects/neuro-variants/variant_position/credible/roussos_2024/variant_figures/roussos_2024.childhood.GLU/rs55768605_count_position.png",4,220,900)</f>
        <v/>
      </c>
      <c r="T1754">
        <f>IMAGE("https://mitra.stanford.edu/kundaje/oak/projects/neuro-variants/variant_position/credible/roussos_2024/variant_figures/roussos_2024.childhood.GLU/rs55768605_profile_position.png",4,220,900)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0.127814032</v>
      </c>
      <c r="G1755" t="n">
        <v>0.0249360551089332</v>
      </c>
      <c r="H1755" t="n">
        <v>0.0149013448361645</v>
      </c>
      <c r="I1755" t="n">
        <v>0.2579781621044161</v>
      </c>
      <c r="J1755" t="n">
        <v>0.06972194463617901</v>
      </c>
      <c r="K1755" t="n">
        <v>0.3112048393184521</v>
      </c>
      <c r="L1755" t="b">
        <v>0</v>
      </c>
      <c r="M1755" t="b">
        <v>0</v>
      </c>
      <c r="N1755" t="inlineStr">
        <is>
          <t>alt</t>
        </is>
      </c>
      <c r="O1755" t="n">
        <v>100</v>
      </c>
      <c r="P1755" t="n">
        <v>0.0038</v>
      </c>
      <c r="Q1755" t="n">
        <v>60</v>
      </c>
      <c r="R1755" t="n">
        <v>0.06383999999999999</v>
      </c>
      <c r="S1755">
        <f>IMAGE("https://mitra.stanford.edu/kundaje/oak/projects/neuro-variants/variant_position/credible/roussos_2024/variant_figures/roussos_2024.childhood.GLU/rs55975673_count_position.png",4,220,900)</f>
        <v/>
      </c>
      <c r="T1755">
        <f>IMAGE("https://mitra.stanford.edu/kundaje/oak/projects/neuro-variants/variant_position/credible/roussos_2024/variant_figures/roussos_2024.childhood.GLU/rs55975673_profile_position.png",4,220,900)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0.1131451534</v>
      </c>
      <c r="G1756" t="n">
        <v>0.0368560608771622</v>
      </c>
      <c r="H1756" t="n">
        <v>0.0144684123498661</v>
      </c>
      <c r="I1756" t="n">
        <v>0.2844206562123175</v>
      </c>
      <c r="J1756" t="n">
        <v>0.0229697013403113</v>
      </c>
      <c r="K1756" t="n">
        <v>0.4709181171320151</v>
      </c>
      <c r="L1756" t="b">
        <v>0</v>
      </c>
      <c r="M1756" t="b">
        <v>0</v>
      </c>
      <c r="N1756" t="inlineStr">
        <is>
          <t>alt</t>
        </is>
      </c>
      <c r="O1756" t="n">
        <v>80</v>
      </c>
      <c r="P1756" t="n">
        <v>0.004925</v>
      </c>
      <c r="Q1756" t="n">
        <v>70</v>
      </c>
      <c r="R1756" t="n">
        <v>0.10144</v>
      </c>
      <c r="S1756">
        <f>IMAGE("https://mitra.stanford.edu/kundaje/oak/projects/neuro-variants/variant_position/credible/roussos_2024/variant_figures/roussos_2024.childhood.GLU/rs56194412_count_position.png",4,220,900)</f>
        <v/>
      </c>
      <c r="T1756">
        <f>IMAGE("https://mitra.stanford.edu/kundaje/oak/projects/neuro-variants/variant_position/credible/roussos_2024/variant_figures/roussos_2024.childhood.GLU/rs56194412_profile_position.png",4,220,900)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-0.0747163756</v>
      </c>
      <c r="G1757" t="n">
        <v>0.08795812131109559</v>
      </c>
      <c r="H1757" t="n">
        <v>0.0108359096350594</v>
      </c>
      <c r="I1757" t="n">
        <v>0.5712585579455607</v>
      </c>
      <c r="J1757" t="n">
        <v>0.0150761844911246</v>
      </c>
      <c r="K1757" t="n">
        <v>0.5354370769951264</v>
      </c>
      <c r="L1757" t="b">
        <v>0</v>
      </c>
      <c r="M1757" t="b">
        <v>0</v>
      </c>
      <c r="N1757" t="inlineStr">
        <is>
          <t>ref</t>
        </is>
      </c>
      <c r="O1757" t="n">
        <v>-100</v>
      </c>
      <c r="P1757" t="n">
        <v>0.00268</v>
      </c>
      <c r="Q1757" t="n">
        <v>-75</v>
      </c>
      <c r="R1757" t="n">
        <v>0.0687</v>
      </c>
      <c r="S1757">
        <f>IMAGE("https://mitra.stanford.edu/kundaje/oak/projects/neuro-variants/variant_position/credible/roussos_2024/variant_figures/roussos_2024.childhood.GLU/rs77426526_count_position.png",4,220,900)</f>
        <v/>
      </c>
      <c r="T1757">
        <f>IMAGE("https://mitra.stanford.edu/kundaje/oak/projects/neuro-variants/variant_position/credible/roussos_2024/variant_figures/roussos_2024.childhood.GLU/rs77426526_profile_position.png",4,220,900)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0.0089934968472</v>
      </c>
      <c r="G1758" t="n">
        <v>0.6746434598306669</v>
      </c>
      <c r="H1758" t="n">
        <v>0.0177886145922428</v>
      </c>
      <c r="I1758" t="n">
        <v>0.1438052793257971</v>
      </c>
      <c r="J1758" t="n">
        <v>0.0117887644616604</v>
      </c>
      <c r="K1758" t="n">
        <v>0.5704285467969912</v>
      </c>
      <c r="L1758" t="b">
        <v>0</v>
      </c>
      <c r="M1758" t="b">
        <v>0</v>
      </c>
      <c r="N1758" t="inlineStr">
        <is>
          <t>alt</t>
        </is>
      </c>
      <c r="O1758" t="n">
        <v>95</v>
      </c>
      <c r="P1758" t="n">
        <v>0.01633</v>
      </c>
      <c r="Q1758" t="n">
        <v>-100</v>
      </c>
      <c r="R1758" t="n">
        <v>0.12427</v>
      </c>
      <c r="S1758">
        <f>IMAGE("https://mitra.stanford.edu/kundaje/oak/projects/neuro-variants/variant_position/credible/roussos_2024/variant_figures/roussos_2024.childhood.GLU/rs74863825_count_position.png",4,220,900)</f>
        <v/>
      </c>
      <c r="T1758">
        <f>IMAGE("https://mitra.stanford.edu/kundaje/oak/projects/neuro-variants/variant_position/credible/roussos_2024/variant_figures/roussos_2024.childhood.GLU/rs74863825_profile_position.png",4,220,900)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0.0656353013999999</v>
      </c>
      <c r="G1759" t="n">
        <v>0.113301734868243</v>
      </c>
      <c r="H1759" t="n">
        <v>0.01879274128423</v>
      </c>
      <c r="I1759" t="n">
        <v>0.1228325727595786</v>
      </c>
      <c r="J1759" t="n">
        <v>0.0050243646141324</v>
      </c>
      <c r="K1759" t="n">
        <v>0.6915376838863411</v>
      </c>
      <c r="L1759" t="b">
        <v>0</v>
      </c>
      <c r="M1759" t="b">
        <v>0</v>
      </c>
      <c r="N1759" t="inlineStr">
        <is>
          <t>alt</t>
        </is>
      </c>
      <c r="O1759" t="n">
        <v>-65</v>
      </c>
      <c r="P1759" t="n">
        <v>0.001754</v>
      </c>
      <c r="Q1759" t="n">
        <v>100</v>
      </c>
      <c r="R1759" t="n">
        <v>0.0896</v>
      </c>
      <c r="S1759">
        <f>IMAGE("https://mitra.stanford.edu/kundaje/oak/projects/neuro-variants/variant_position/credible/roussos_2024/variant_figures/roussos_2024.childhood.GLU/rs62055552_count_position.png",4,220,900)</f>
        <v/>
      </c>
      <c r="T1759">
        <f>IMAGE("https://mitra.stanford.edu/kundaje/oak/projects/neuro-variants/variant_position/credible/roussos_2024/variant_figures/roussos_2024.childhood.GLU/rs62055552_profile_position.png",4,220,900)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0.04043203238</v>
      </c>
      <c r="G1760" t="n">
        <v>0.2640470069976356</v>
      </c>
      <c r="H1760" t="n">
        <v>0.0110208122816758</v>
      </c>
      <c r="I1760" t="n">
        <v>0.5433332973446071</v>
      </c>
      <c r="J1760" t="n">
        <v>0.023278766213028</v>
      </c>
      <c r="K1760" t="n">
        <v>0.4666613797589211</v>
      </c>
      <c r="L1760" t="b">
        <v>0</v>
      </c>
      <c r="M1760" t="b">
        <v>0</v>
      </c>
      <c r="N1760" t="inlineStr">
        <is>
          <t>alt</t>
        </is>
      </c>
      <c r="O1760" t="n">
        <v>-95</v>
      </c>
      <c r="P1760" t="n">
        <v>0.015045</v>
      </c>
      <c r="Q1760" t="n">
        <v>75</v>
      </c>
      <c r="R1760" t="n">
        <v>0.09827</v>
      </c>
      <c r="S1760">
        <f>IMAGE("https://mitra.stanford.edu/kundaje/oak/projects/neuro-variants/variant_position/credible/roussos_2024/variant_figures/roussos_2024.childhood.GLU/rs62055558_count_position.png",4,220,900)</f>
        <v/>
      </c>
      <c r="T1760">
        <f>IMAGE("https://mitra.stanford.edu/kundaje/oak/projects/neuro-variants/variant_position/credible/roussos_2024/variant_figures/roussos_2024.childhood.GLU/rs62055558_profile_position.png",4,220,900)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0.0299333438</v>
      </c>
      <c r="G1761" t="n">
        <v>0.240246087707602</v>
      </c>
      <c r="H1761" t="n">
        <v>0.0127561156819195</v>
      </c>
      <c r="I1761" t="n">
        <v>0.3952076256748547</v>
      </c>
      <c r="J1761" t="n">
        <v>0.0423604314545622</v>
      </c>
      <c r="K1761" t="n">
        <v>0.3891305035266242</v>
      </c>
      <c r="L1761" t="b">
        <v>0</v>
      </c>
      <c r="M1761" t="b">
        <v>0</v>
      </c>
      <c r="N1761" t="inlineStr">
        <is>
          <t>alt</t>
        </is>
      </c>
      <c r="O1761" t="n">
        <v>75</v>
      </c>
      <c r="P1761" t="n">
        <v>0.004826</v>
      </c>
      <c r="Q1761" t="n">
        <v>80</v>
      </c>
      <c r="R1761" t="n">
        <v>0.12146</v>
      </c>
      <c r="S1761">
        <f>IMAGE("https://mitra.stanford.edu/kundaje/oak/projects/neuro-variants/variant_position/credible/roussos_2024/variant_figures/roussos_2024.childhood.GLU/rs17691466_count_position.png",4,220,900)</f>
        <v/>
      </c>
      <c r="T1761">
        <f>IMAGE("https://mitra.stanford.edu/kundaje/oak/projects/neuro-variants/variant_position/credible/roussos_2024/variant_figures/roussos_2024.childhood.GLU/rs17691466_profile_position.png",4,220,900)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0.0028624658999999</v>
      </c>
      <c r="G1762" t="n">
        <v>0.8219390978559369</v>
      </c>
      <c r="H1762" t="n">
        <v>0.0269091487362044</v>
      </c>
      <c r="I1762" t="n">
        <v>0.0324452241219492</v>
      </c>
      <c r="J1762" t="n">
        <v>0.0384445795172406</v>
      </c>
      <c r="K1762" t="n">
        <v>0.3968684885074188</v>
      </c>
      <c r="L1762" t="b">
        <v>0</v>
      </c>
      <c r="M1762" t="b">
        <v>0</v>
      </c>
      <c r="N1762" t="inlineStr">
        <is>
          <t>alt</t>
        </is>
      </c>
      <c r="O1762" t="n">
        <v>-95</v>
      </c>
      <c r="P1762" t="n">
        <v>0.01149</v>
      </c>
      <c r="Q1762" t="n">
        <v>100</v>
      </c>
      <c r="R1762" t="n">
        <v>0.1536</v>
      </c>
      <c r="S1762">
        <f>IMAGE("https://mitra.stanford.edu/kundaje/oak/projects/neuro-variants/variant_position/credible/roussos_2024/variant_figures/roussos_2024.childhood.GLU/rs55960528_count_position.png",4,220,900)</f>
        <v/>
      </c>
      <c r="T1762">
        <f>IMAGE("https://mitra.stanford.edu/kundaje/oak/projects/neuro-variants/variant_position/credible/roussos_2024/variant_figures/roussos_2024.childhood.GLU/rs55960528_profile_position.png",4,220,900)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0.007935510220000001</v>
      </c>
      <c r="G1763" t="n">
        <v>0.6249589029807744</v>
      </c>
      <c r="H1763" t="n">
        <v>0.0094099100723456</v>
      </c>
      <c r="I1763" t="n">
        <v>0.7160996315522494</v>
      </c>
      <c r="J1763" t="n">
        <v>0.0479833517055229</v>
      </c>
      <c r="K1763" t="n">
        <v>0.3604673434808578</v>
      </c>
      <c r="L1763" t="b">
        <v>0</v>
      </c>
      <c r="M1763" t="b">
        <v>0</v>
      </c>
      <c r="N1763" t="inlineStr">
        <is>
          <t>alt</t>
        </is>
      </c>
      <c r="O1763" t="n">
        <v>-100</v>
      </c>
      <c r="P1763" t="n">
        <v>0.01604</v>
      </c>
      <c r="Q1763" t="n">
        <v>-15</v>
      </c>
      <c r="R1763" t="n">
        <v>0.01733</v>
      </c>
      <c r="S1763">
        <f>IMAGE("https://mitra.stanford.edu/kundaje/oak/projects/neuro-variants/variant_position/credible/roussos_2024/variant_figures/roussos_2024.childhood.GLU/rs17691556_count_position.png",4,220,900)</f>
        <v/>
      </c>
      <c r="T1763">
        <f>IMAGE("https://mitra.stanford.edu/kundaje/oak/projects/neuro-variants/variant_position/credible/roussos_2024/variant_figures/roussos_2024.childhood.GLU/rs17691556_profile_position.png",4,220,900)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-0.00357444968</v>
      </c>
      <c r="G1764" t="n">
        <v>0.8010161462211806</v>
      </c>
      <c r="H1764" t="n">
        <v>0.0272401991198767</v>
      </c>
      <c r="I1764" t="n">
        <v>0.0307931256355564</v>
      </c>
      <c r="J1764" t="n">
        <v>0.0183172447896813</v>
      </c>
      <c r="K1764" t="n">
        <v>0.5021332349393013</v>
      </c>
      <c r="L1764" t="b">
        <v>0</v>
      </c>
      <c r="M1764" t="b">
        <v>0</v>
      </c>
      <c r="N1764" t="inlineStr">
        <is>
          <t>ref</t>
        </is>
      </c>
      <c r="O1764" t="n">
        <v>-100</v>
      </c>
      <c r="P1764" t="n">
        <v>0.01047</v>
      </c>
      <c r="Q1764" t="n">
        <v>-65</v>
      </c>
      <c r="R1764" t="n">
        <v>0.0901</v>
      </c>
      <c r="S1764">
        <f>IMAGE("https://mitra.stanford.edu/kundaje/oak/projects/neuro-variants/variant_position/credible/roussos_2024/variant_figures/roussos_2024.childhood.GLU/rs78729125_count_position.png",4,220,900)</f>
        <v/>
      </c>
      <c r="T1764">
        <f>IMAGE("https://mitra.stanford.edu/kundaje/oak/projects/neuro-variants/variant_position/credible/roussos_2024/variant_figures/roussos_2024.childhood.GLU/rs78729125_profile_position.png",4,220,900)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-0.0004708062</v>
      </c>
      <c r="G1765" t="n">
        <v>0.604087183400697</v>
      </c>
      <c r="H1765" t="n">
        <v>0.0347062584815249</v>
      </c>
      <c r="I1765" t="n">
        <v>0.0116214086631738</v>
      </c>
      <c r="J1765" t="n">
        <v>0.9733410942956926</v>
      </c>
      <c r="K1765" t="n">
        <v>7.709760577188862e-05</v>
      </c>
      <c r="L1765" t="b">
        <v>1</v>
      </c>
      <c r="M1765" t="b">
        <v>0</v>
      </c>
      <c r="N1765" t="inlineStr">
        <is>
          <t>ref</t>
        </is>
      </c>
      <c r="O1765" t="n">
        <v>-15</v>
      </c>
      <c r="P1765" t="n">
        <v>0.01013</v>
      </c>
      <c r="Q1765" t="n">
        <v>-15</v>
      </c>
      <c r="R1765" t="n">
        <v>0.1006</v>
      </c>
      <c r="S1765">
        <f>IMAGE("https://mitra.stanford.edu/kundaje/oak/projects/neuro-variants/variant_position/credible/roussos_2024/variant_figures/roussos_2024.childhood.GLU/rs11575895_count_position.png",4,220,900)</f>
        <v/>
      </c>
      <c r="T1765">
        <f>IMAGE("https://mitra.stanford.edu/kundaje/oak/projects/neuro-variants/variant_position/credible/roussos_2024/variant_figures/roussos_2024.childhood.GLU/rs11575895_profile_position.png",4,220,900)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0.1038412042</v>
      </c>
      <c r="G1766" t="n">
        <v>0.0408834927999065</v>
      </c>
      <c r="H1766" t="n">
        <v>0.0243098029540065</v>
      </c>
      <c r="I1766" t="n">
        <v>0.0495946818163543</v>
      </c>
      <c r="J1766" t="n">
        <v>0.8791329700104052</v>
      </c>
      <c r="K1766" t="n">
        <v>0.003037873831171</v>
      </c>
      <c r="L1766" t="b">
        <v>0</v>
      </c>
      <c r="M1766" t="b">
        <v>0</v>
      </c>
      <c r="N1766" t="inlineStr">
        <is>
          <t>alt</t>
        </is>
      </c>
      <c r="O1766" t="n">
        <v>-15</v>
      </c>
      <c r="P1766" t="n">
        <v>0.0006256</v>
      </c>
      <c r="Q1766" t="n">
        <v>60</v>
      </c>
      <c r="R1766" t="n">
        <v>0.1906</v>
      </c>
      <c r="S1766">
        <f>IMAGE("https://mitra.stanford.edu/kundaje/oak/projects/neuro-variants/variant_position/credible/roussos_2024/variant_figures/roussos_2024.childhood.GLU/rs62056781_count_position.png",4,220,900)</f>
        <v/>
      </c>
      <c r="T1766">
        <f>IMAGE("https://mitra.stanford.edu/kundaje/oak/projects/neuro-variants/variant_position/credible/roussos_2024/variant_figures/roussos_2024.childhood.GLU/rs62056781_profile_position.png",4,220,900)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0.115471492</v>
      </c>
      <c r="G1767" t="n">
        <v>0.0375909098694556</v>
      </c>
      <c r="H1767" t="n">
        <v>0.0385401313325383</v>
      </c>
      <c r="I1767" t="n">
        <v>0.008712177219204</v>
      </c>
      <c r="J1767" t="n">
        <v>0.8496172746659523</v>
      </c>
      <c r="K1767" t="n">
        <v>0.0043965795386712</v>
      </c>
      <c r="L1767" t="b">
        <v>1</v>
      </c>
      <c r="M1767" t="b">
        <v>1</v>
      </c>
      <c r="N1767" t="inlineStr">
        <is>
          <t>alt</t>
        </is>
      </c>
      <c r="O1767" t="n">
        <v>-80</v>
      </c>
      <c r="P1767" t="n">
        <v>0.0047</v>
      </c>
      <c r="Q1767" t="n">
        <v>-90</v>
      </c>
      <c r="R1767" t="n">
        <v>0.1742</v>
      </c>
      <c r="S1767">
        <f>IMAGE("https://mitra.stanford.edu/kundaje/oak/projects/neuro-variants/variant_position/credible/roussos_2024/variant_figures/roussos_2024.childhood.GLU/rs62056782_count_position.png",4,220,900)</f>
        <v/>
      </c>
      <c r="T1767">
        <f>IMAGE("https://mitra.stanford.edu/kundaje/oak/projects/neuro-variants/variant_position/credible/roussos_2024/variant_figures/roussos_2024.childhood.GLU/rs62056782_profile_position.png",4,220,900)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0.07843360000000001</v>
      </c>
      <c r="G1768" t="n">
        <v>0.07445361566474799</v>
      </c>
      <c r="H1768" t="n">
        <v>0.0265015209934977</v>
      </c>
      <c r="I1768" t="n">
        <v>0.0382070114042469</v>
      </c>
      <c r="J1768" t="n">
        <v>0.8241606313165134</v>
      </c>
      <c r="K1768" t="n">
        <v>0.0057970179394787</v>
      </c>
      <c r="L1768" t="b">
        <v>0</v>
      </c>
      <c r="M1768" t="b">
        <v>0</v>
      </c>
      <c r="N1768" t="inlineStr">
        <is>
          <t>alt</t>
        </is>
      </c>
      <c r="O1768" t="n">
        <v>-95</v>
      </c>
      <c r="P1768" t="n">
        <v>0.004272</v>
      </c>
      <c r="Q1768" t="n">
        <v>30</v>
      </c>
      <c r="R1768" t="n">
        <v>0.1095</v>
      </c>
      <c r="S1768">
        <f>IMAGE("https://mitra.stanford.edu/kundaje/oak/projects/neuro-variants/variant_position/credible/roussos_2024/variant_figures/roussos_2024.childhood.GLU/rs80346216_count_position.png",4,220,900)</f>
        <v/>
      </c>
      <c r="T1768">
        <f>IMAGE("https://mitra.stanford.edu/kundaje/oak/projects/neuro-variants/variant_position/credible/roussos_2024/variant_figures/roussos_2024.childhood.GLU/rs80346216_profile_position.png",4,220,900)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0.00372534292</v>
      </c>
      <c r="G1769" t="n">
        <v>0.8036094722402577</v>
      </c>
      <c r="H1769" t="n">
        <v>0.013539673700293</v>
      </c>
      <c r="I1769" t="n">
        <v>0.3331042835557824</v>
      </c>
      <c r="J1769" t="n">
        <v>0.8034450431145498</v>
      </c>
      <c r="K1769" t="n">
        <v>0.0069822029436862</v>
      </c>
      <c r="L1769" t="b">
        <v>0</v>
      </c>
      <c r="M1769" t="b">
        <v>0</v>
      </c>
      <c r="N1769" t="inlineStr">
        <is>
          <t>alt</t>
        </is>
      </c>
      <c r="O1769" t="n">
        <v>-45</v>
      </c>
      <c r="P1769" t="n">
        <v>0.003706</v>
      </c>
      <c r="Q1769" t="n">
        <v>-40</v>
      </c>
      <c r="R1769" t="n">
        <v>0.04236</v>
      </c>
      <c r="S1769">
        <f>IMAGE("https://mitra.stanford.edu/kundaje/oak/projects/neuro-variants/variant_position/credible/roussos_2024/variant_figures/roussos_2024.childhood.GLU/rs62056783_count_position.png",4,220,900)</f>
        <v/>
      </c>
      <c r="T1769">
        <f>IMAGE("https://mitra.stanford.edu/kundaje/oak/projects/neuro-variants/variant_position/credible/roussos_2024/variant_figures/roussos_2024.childhood.GLU/rs62056783_profile_position.png",4,220,900)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-0.01844453318</v>
      </c>
      <c r="G1770" t="n">
        <v>0.5078325221332636</v>
      </c>
      <c r="H1770" t="n">
        <v>0.0104051431565348</v>
      </c>
      <c r="I1770" t="n">
        <v>0.6171505584510676</v>
      </c>
      <c r="J1770" t="n">
        <v>0.050047905055271</v>
      </c>
      <c r="K1770" t="n">
        <v>0.3511290076186877</v>
      </c>
      <c r="L1770" t="b">
        <v>0</v>
      </c>
      <c r="M1770" t="b">
        <v>0</v>
      </c>
      <c r="N1770" t="inlineStr">
        <is>
          <t>ref</t>
        </is>
      </c>
      <c r="O1770" t="n">
        <v>-95</v>
      </c>
      <c r="P1770" t="n">
        <v>0.002037</v>
      </c>
      <c r="Q1770" t="n">
        <v>95</v>
      </c>
      <c r="R1770" t="n">
        <v>0.0852</v>
      </c>
      <c r="S1770">
        <f>IMAGE("https://mitra.stanford.edu/kundaje/oak/projects/neuro-variants/variant_position/credible/roussos_2024/variant_figures/roussos_2024.childhood.GLU/rs62056801_count_position.png",4,220,900)</f>
        <v/>
      </c>
      <c r="T1770">
        <f>IMAGE("https://mitra.stanford.edu/kundaje/oak/projects/neuro-variants/variant_position/credible/roussos_2024/variant_figures/roussos_2024.childhood.GLU/rs62056801_profile_position.png",4,220,900)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0.0742236414</v>
      </c>
      <c r="G1771" t="n">
        <v>0.081208078823383</v>
      </c>
      <c r="H1771" t="n">
        <v>0.0150794821448415</v>
      </c>
      <c r="I1771" t="n">
        <v>0.2428575168680282</v>
      </c>
      <c r="J1771" t="n">
        <v>0.369644678418</v>
      </c>
      <c r="K1771" t="n">
        <v>0.07322049482832189</v>
      </c>
      <c r="L1771" t="b">
        <v>0</v>
      </c>
      <c r="M1771" t="b">
        <v>0</v>
      </c>
      <c r="N1771" t="inlineStr">
        <is>
          <t>alt</t>
        </is>
      </c>
      <c r="O1771" t="n">
        <v>-100</v>
      </c>
      <c r="P1771" t="n">
        <v>0.009964000000000001</v>
      </c>
      <c r="Q1771" t="n">
        <v>-10</v>
      </c>
      <c r="R1771" t="n">
        <v>0.01294</v>
      </c>
      <c r="S1771">
        <f>IMAGE("https://mitra.stanford.edu/kundaje/oak/projects/neuro-variants/variant_position/credible/roussos_2024/variant_figures/roussos_2024.childhood.GLU/rs1984937_count_position.png",4,220,900)</f>
        <v/>
      </c>
      <c r="T1771">
        <f>IMAGE("https://mitra.stanford.edu/kundaje/oak/projects/neuro-variants/variant_position/credible/roussos_2024/variant_figures/roussos_2024.childhood.GLU/rs1984937_profile_position.png",4,220,900)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-0.0856669254</v>
      </c>
      <c r="G1772" t="n">
        <v>0.07265061868944429</v>
      </c>
      <c r="H1772" t="n">
        <v>0.019754432606781</v>
      </c>
      <c r="I1772" t="n">
        <v>0.1030702481984943</v>
      </c>
      <c r="J1772" t="n">
        <v>0.7018142108028476</v>
      </c>
      <c r="K1772" t="n">
        <v>0.0149500527789728</v>
      </c>
      <c r="L1772" t="b">
        <v>0</v>
      </c>
      <c r="M1772" t="b">
        <v>0</v>
      </c>
      <c r="N1772" t="inlineStr">
        <is>
          <t>ref</t>
        </is>
      </c>
      <c r="O1772" t="n">
        <v>-75</v>
      </c>
      <c r="P1772" t="n">
        <v>0.0045</v>
      </c>
      <c r="Q1772" t="n">
        <v>-75</v>
      </c>
      <c r="R1772" t="n">
        <v>0.01514</v>
      </c>
      <c r="S1772">
        <f>IMAGE("https://mitra.stanford.edu/kundaje/oak/projects/neuro-variants/variant_position/credible/roussos_2024/variant_figures/roussos_2024.childhood.GLU/rs74509629_count_position.png",4,220,900)</f>
        <v/>
      </c>
      <c r="T1772">
        <f>IMAGE("https://mitra.stanford.edu/kundaje/oak/projects/neuro-variants/variant_position/credible/roussos_2024/variant_figures/roussos_2024.childhood.GLU/rs74509629_profile_position.png",4,220,900)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0.1050916436</v>
      </c>
      <c r="G1773" t="n">
        <v>0.0464061177671033</v>
      </c>
      <c r="H1773" t="n">
        <v>0.0173202367996758</v>
      </c>
      <c r="I1773" t="n">
        <v>0.1853564514888011</v>
      </c>
      <c r="J1773" t="n">
        <v>0.08886027177104459</v>
      </c>
      <c r="K1773" t="n">
        <v>0.2667368341352536</v>
      </c>
      <c r="L1773" t="b">
        <v>0</v>
      </c>
      <c r="M1773" t="b">
        <v>0</v>
      </c>
      <c r="N1773" t="inlineStr">
        <is>
          <t>alt</t>
        </is>
      </c>
      <c r="O1773" t="n">
        <v>-20</v>
      </c>
      <c r="P1773" t="n">
        <v>0.000977</v>
      </c>
      <c r="Q1773" t="n">
        <v>-40</v>
      </c>
      <c r="R1773" t="n">
        <v>0.05988</v>
      </c>
      <c r="S1773">
        <f>IMAGE("https://mitra.stanford.edu/kundaje/oak/projects/neuro-variants/variant_position/credible/roussos_2024/variant_figures/roussos_2024.childhood.GLU/rs62056838_count_position.png",4,220,900)</f>
        <v/>
      </c>
      <c r="T1773">
        <f>IMAGE("https://mitra.stanford.edu/kundaje/oak/projects/neuro-variants/variant_position/credible/roussos_2024/variant_figures/roussos_2024.childhood.GLU/rs62056838_profile_position.png",4,220,900)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-0.0008248202499999</v>
      </c>
      <c r="G1774" t="n">
        <v>0.6853733960246972</v>
      </c>
      <c r="H1774" t="n">
        <v>0.0075046815037305</v>
      </c>
      <c r="I1774" t="n">
        <v>0.9052175773500653</v>
      </c>
      <c r="J1774" t="n">
        <v>0.2777380572182101</v>
      </c>
      <c r="K1774" t="n">
        <v>0.1065738126041825</v>
      </c>
      <c r="L1774" t="b">
        <v>0</v>
      </c>
      <c r="M1774" t="b">
        <v>0</v>
      </c>
      <c r="N1774" t="inlineStr">
        <is>
          <t>ref</t>
        </is>
      </c>
      <c r="O1774" t="n">
        <v>-100</v>
      </c>
      <c r="P1774" t="n">
        <v>0.0103</v>
      </c>
      <c r="Q1774" t="n">
        <v>90</v>
      </c>
      <c r="R1774" t="n">
        <v>0.184</v>
      </c>
      <c r="S1774">
        <f>IMAGE("https://mitra.stanford.edu/kundaje/oak/projects/neuro-variants/variant_position/credible/roussos_2024/variant_figures/roussos_2024.childhood.GLU/rs17564020_count_position.png",4,220,900)</f>
        <v/>
      </c>
      <c r="T1774">
        <f>IMAGE("https://mitra.stanford.edu/kundaje/oak/projects/neuro-variants/variant_position/credible/roussos_2024/variant_figures/roussos_2024.childhood.GLU/rs17564020_profile_position.png",4,220,900)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0.01726095234</v>
      </c>
      <c r="G1775" t="n">
        <v>0.4765440052957696</v>
      </c>
      <c r="H1775" t="n">
        <v>0.0090911443515921</v>
      </c>
      <c r="I1775" t="n">
        <v>0.7256461821012798</v>
      </c>
      <c r="J1775" t="n">
        <v>0.3262138522875951</v>
      </c>
      <c r="K1775" t="n">
        <v>0.08740733230477921</v>
      </c>
      <c r="L1775" t="b">
        <v>0</v>
      </c>
      <c r="M1775" t="b">
        <v>0</v>
      </c>
      <c r="N1775" t="inlineStr">
        <is>
          <t>alt</t>
        </is>
      </c>
      <c r="O1775" t="n">
        <v>100</v>
      </c>
      <c r="P1775" t="n">
        <v>0.02544</v>
      </c>
      <c r="Q1775" t="n">
        <v>-15</v>
      </c>
      <c r="R1775" t="n">
        <v>0.0654</v>
      </c>
      <c r="S1775">
        <f>IMAGE("https://mitra.stanford.edu/kundaje/oak/projects/neuro-variants/variant_position/credible/roussos_2024/variant_figures/roussos_2024.childhood.GLU/rs55682376_count_position.png",4,220,900)</f>
        <v/>
      </c>
      <c r="T1775">
        <f>IMAGE("https://mitra.stanford.edu/kundaje/oak/projects/neuro-variants/variant_position/credible/roussos_2024/variant_figures/roussos_2024.childhood.GLU/rs55682376_profile_position.png",4,220,900)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-0.0409397822</v>
      </c>
      <c r="G1776" t="n">
        <v>0.1884235418654413</v>
      </c>
      <c r="H1776" t="n">
        <v>0.0185225748223606</v>
      </c>
      <c r="I1776" t="n">
        <v>0.1446578592824494</v>
      </c>
      <c r="J1776" t="n">
        <v>0.5077152894392534</v>
      </c>
      <c r="K1776" t="n">
        <v>0.0407577033508543</v>
      </c>
      <c r="L1776" t="b">
        <v>0</v>
      </c>
      <c r="M1776" t="b">
        <v>0</v>
      </c>
      <c r="N1776" t="inlineStr">
        <is>
          <t>ref</t>
        </is>
      </c>
      <c r="O1776" t="n">
        <v>65</v>
      </c>
      <c r="P1776" t="n">
        <v>0.00206</v>
      </c>
      <c r="Q1776" t="n">
        <v>95</v>
      </c>
      <c r="R1776" t="n">
        <v>0.09669999999999999</v>
      </c>
      <c r="S1776">
        <f>IMAGE("https://mitra.stanford.edu/kundaje/oak/projects/neuro-variants/variant_position/credible/roussos_2024/variant_figures/roussos_2024.childhood.GLU/rs62056848_count_position.png",4,220,900)</f>
        <v/>
      </c>
      <c r="T1776">
        <f>IMAGE("https://mitra.stanford.edu/kundaje/oak/projects/neuro-variants/variant_position/credible/roussos_2024/variant_figures/roussos_2024.childhood.GLU/rs62056848_profile_position.png",4,220,900)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0.07000723139999999</v>
      </c>
      <c r="G1777" t="n">
        <v>0.100579953811563</v>
      </c>
      <c r="H1777" t="n">
        <v>0.0122495646960635</v>
      </c>
      <c r="I1777" t="n">
        <v>0.4258014199092031</v>
      </c>
      <c r="J1777" t="n">
        <v>0.532625918180226</v>
      </c>
      <c r="K1777" t="n">
        <v>0.0364634798353224</v>
      </c>
      <c r="L1777" t="b">
        <v>0</v>
      </c>
      <c r="M1777" t="b">
        <v>0</v>
      </c>
      <c r="N1777" t="inlineStr">
        <is>
          <t>alt</t>
        </is>
      </c>
      <c r="O1777" t="n">
        <v>-75</v>
      </c>
      <c r="P1777" t="n">
        <v>0.002605</v>
      </c>
      <c r="Q1777" t="n">
        <v>85</v>
      </c>
      <c r="R1777" t="n">
        <v>0.0752</v>
      </c>
      <c r="S1777">
        <f>IMAGE("https://mitra.stanford.edu/kundaje/oak/projects/neuro-variants/variant_position/credible/roussos_2024/variant_figures/roussos_2024.childhood.GLU/rs62056849_count_position.png",4,220,900)</f>
        <v/>
      </c>
      <c r="T1777">
        <f>IMAGE("https://mitra.stanford.edu/kundaje/oak/projects/neuro-variants/variant_position/credible/roussos_2024/variant_figures/roussos_2024.childhood.GLU/rs62056849_profile_position.png",4,220,900)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0.0041884151599999</v>
      </c>
      <c r="G1778" t="n">
        <v>0.7974136143952307</v>
      </c>
      <c r="H1778" t="n">
        <v>0.0092381873417601</v>
      </c>
      <c r="I1778" t="n">
        <v>0.751631658460017</v>
      </c>
      <c r="J1778" t="n">
        <v>0.1376307086857531</v>
      </c>
      <c r="K1778" t="n">
        <v>0.2043642090082203</v>
      </c>
      <c r="L1778" t="b">
        <v>0</v>
      </c>
      <c r="M1778" t="b">
        <v>0</v>
      </c>
      <c r="N1778" t="inlineStr">
        <is>
          <t>alt</t>
        </is>
      </c>
      <c r="O1778" t="n">
        <v>-100</v>
      </c>
      <c r="P1778" t="n">
        <v>0.01101</v>
      </c>
      <c r="Q1778" t="n">
        <v>70</v>
      </c>
      <c r="R1778" t="n">
        <v>0.04837</v>
      </c>
      <c r="S1778">
        <f>IMAGE("https://mitra.stanford.edu/kundaje/oak/projects/neuro-variants/variant_position/credible/roussos_2024/variant_figures/roussos_2024.childhood.GLU/rs17649700_count_position.png",4,220,900)</f>
        <v/>
      </c>
      <c r="T1778">
        <f>IMAGE("https://mitra.stanford.edu/kundaje/oak/projects/neuro-variants/variant_position/credible/roussos_2024/variant_figures/roussos_2024.childhood.GLU/rs17649700_profile_position.png",4,220,900)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0.0132534411999999</v>
      </c>
      <c r="G1779" t="n">
        <v>0.5769468258260814</v>
      </c>
      <c r="H1779" t="n">
        <v>0.0206610367623118</v>
      </c>
      <c r="I1779" t="n">
        <v>0.0919476779219503</v>
      </c>
      <c r="J1779" t="n">
        <v>0.0745299638394098</v>
      </c>
      <c r="K1779" t="n">
        <v>0.2927620874363467</v>
      </c>
      <c r="L1779" t="b">
        <v>0</v>
      </c>
      <c r="M1779" t="b">
        <v>0</v>
      </c>
      <c r="N1779" t="inlineStr">
        <is>
          <t>alt</t>
        </is>
      </c>
      <c r="O1779" t="n">
        <v>65</v>
      </c>
      <c r="P1779" t="n">
        <v>0.003372</v>
      </c>
      <c r="Q1779" t="n">
        <v>60</v>
      </c>
      <c r="R1779" t="n">
        <v>0.02939</v>
      </c>
      <c r="S1779">
        <f>IMAGE("https://mitra.stanford.edu/kundaje/oak/projects/neuro-variants/variant_position/credible/roussos_2024/variant_figures/roussos_2024.childhood.GLU/rs8079501_count_position.png",4,220,900)</f>
        <v/>
      </c>
      <c r="T1779">
        <f>IMAGE("https://mitra.stanford.edu/kundaje/oak/projects/neuro-variants/variant_position/credible/roussos_2024/variant_figures/roussos_2024.childhood.GLU/rs8079501_profile_position.png",4,220,900)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0.0211375239999999</v>
      </c>
      <c r="G1780" t="n">
        <v>0.4245756330068226</v>
      </c>
      <c r="H1780" t="n">
        <v>0.0099608371364191</v>
      </c>
      <c r="I1780" t="n">
        <v>0.6655883135801596</v>
      </c>
      <c r="J1780" t="n">
        <v>0.2439521155490537</v>
      </c>
      <c r="K1780" t="n">
        <v>0.1242588182108904</v>
      </c>
      <c r="L1780" t="b">
        <v>0</v>
      </c>
      <c r="M1780" t="b">
        <v>0</v>
      </c>
      <c r="N1780" t="inlineStr">
        <is>
          <t>alt</t>
        </is>
      </c>
      <c r="O1780" t="n">
        <v>-45</v>
      </c>
      <c r="P1780" t="n">
        <v>0.006638</v>
      </c>
      <c r="Q1780" t="n">
        <v>-65</v>
      </c>
      <c r="R1780" t="n">
        <v>0.153</v>
      </c>
      <c r="S1780">
        <f>IMAGE("https://mitra.stanford.edu/kundaje/oak/projects/neuro-variants/variant_position/credible/roussos_2024/variant_figures/roussos_2024.childhood.GLU/rs55685451_count_position.png",4,220,900)</f>
        <v/>
      </c>
      <c r="T1780">
        <f>IMAGE("https://mitra.stanford.edu/kundaje/oak/projects/neuro-variants/variant_position/credible/roussos_2024/variant_figures/roussos_2024.childhood.GLU/rs55685451_profile_position.png",4,220,900)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-0.0362155104</v>
      </c>
      <c r="G1781" t="n">
        <v>0.2824990620941863</v>
      </c>
      <c r="H1781" t="n">
        <v>0.0206543177278881</v>
      </c>
      <c r="I1781" t="n">
        <v>0.0889004867739292</v>
      </c>
      <c r="J1781" t="n">
        <v>0.1081263457199666</v>
      </c>
      <c r="K1781" t="n">
        <v>0.2363801920616607</v>
      </c>
      <c r="L1781" t="b">
        <v>0</v>
      </c>
      <c r="M1781" t="b">
        <v>0</v>
      </c>
      <c r="N1781" t="inlineStr">
        <is>
          <t>ref</t>
        </is>
      </c>
      <c r="O1781" t="n">
        <v>-85</v>
      </c>
      <c r="P1781" t="n">
        <v>0.01697</v>
      </c>
      <c r="Q1781" t="n">
        <v>-65</v>
      </c>
      <c r="R1781" t="n">
        <v>0.03845</v>
      </c>
      <c r="S1781">
        <f>IMAGE("https://mitra.stanford.edu/kundaje/oak/projects/neuro-variants/variant_position/credible/roussos_2024/variant_figures/roussos_2024.childhood.GLU/rs17564780_count_position.png",4,220,900)</f>
        <v/>
      </c>
      <c r="T1781">
        <f>IMAGE("https://mitra.stanford.edu/kundaje/oak/projects/neuro-variants/variant_position/credible/roussos_2024/variant_figures/roussos_2024.childhood.GLU/rs17564780_profile_position.png",4,220,900)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0.0152644184</v>
      </c>
      <c r="G1782" t="n">
        <v>0.5257534148166954</v>
      </c>
      <c r="H1782" t="n">
        <v>0.0240647811833302</v>
      </c>
      <c r="I1782" t="n">
        <v>0.0513224264505089</v>
      </c>
      <c r="J1782" t="n">
        <v>0.0267310208412745</v>
      </c>
      <c r="K1782" t="n">
        <v>0.4480001665426532</v>
      </c>
      <c r="L1782" t="b">
        <v>0</v>
      </c>
      <c r="M1782" t="b">
        <v>0</v>
      </c>
      <c r="N1782" t="inlineStr">
        <is>
          <t>alt</t>
        </is>
      </c>
      <c r="O1782" t="n">
        <v>90</v>
      </c>
      <c r="P1782" t="n">
        <v>0.01098</v>
      </c>
      <c r="Q1782" t="n">
        <v>-35</v>
      </c>
      <c r="R1782" t="n">
        <v>0.08373999999999999</v>
      </c>
      <c r="S1782">
        <f>IMAGE("https://mitra.stanford.edu/kundaje/oak/projects/neuro-variants/variant_position/credible/roussos_2024/variant_figures/roussos_2024.childhood.GLU/rs62061714_count_position.png",4,220,900)</f>
        <v/>
      </c>
      <c r="T1782">
        <f>IMAGE("https://mitra.stanford.edu/kundaje/oak/projects/neuro-variants/variant_position/credible/roussos_2024/variant_figures/roussos_2024.childhood.GLU/rs62061714_profile_position.png",4,220,900)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0.0134670944999999</v>
      </c>
      <c r="G1783" t="n">
        <v>0.5673759688470456</v>
      </c>
      <c r="H1783" t="n">
        <v>0.0095182597854489</v>
      </c>
      <c r="I1783" t="n">
        <v>0.6766555863576164</v>
      </c>
      <c r="J1783" t="n">
        <v>0.3766707531910948</v>
      </c>
      <c r="K1783" t="n">
        <v>0.071290568162011</v>
      </c>
      <c r="L1783" t="b">
        <v>0</v>
      </c>
      <c r="M1783" t="b">
        <v>0</v>
      </c>
      <c r="N1783" t="inlineStr">
        <is>
          <t>alt</t>
        </is>
      </c>
      <c r="O1783" t="n">
        <v>-100</v>
      </c>
      <c r="P1783" t="n">
        <v>0.02391</v>
      </c>
      <c r="Q1783" t="n">
        <v>-100</v>
      </c>
      <c r="R1783" t="n">
        <v>0.2449</v>
      </c>
      <c r="S1783">
        <f>IMAGE("https://mitra.stanford.edu/kundaje/oak/projects/neuro-variants/variant_position/credible/roussos_2024/variant_figures/roussos_2024.childhood.GLU/rs62061716_count_position.png",4,220,900)</f>
        <v/>
      </c>
      <c r="T1783">
        <f>IMAGE("https://mitra.stanford.edu/kundaje/oak/projects/neuro-variants/variant_position/credible/roussos_2024/variant_figures/roussos_2024.childhood.GLU/rs62061716_profile_position.png",4,220,900)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0.056329906</v>
      </c>
      <c r="G1784" t="n">
        <v>0.1436636893396822</v>
      </c>
      <c r="H1784" t="n">
        <v>0.0114755725746333</v>
      </c>
      <c r="I1784" t="n">
        <v>0.5062196025445682</v>
      </c>
      <c r="J1784" t="n">
        <v>0.3360627195648366</v>
      </c>
      <c r="K1784" t="n">
        <v>0.0838195971925413</v>
      </c>
      <c r="L1784" t="b">
        <v>0</v>
      </c>
      <c r="M1784" t="b">
        <v>0</v>
      </c>
      <c r="N1784" t="inlineStr">
        <is>
          <t>alt</t>
        </is>
      </c>
      <c r="O1784" t="n">
        <v>-60</v>
      </c>
      <c r="P1784" t="n">
        <v>0.003304</v>
      </c>
      <c r="Q1784" t="n">
        <v>-55</v>
      </c>
      <c r="R1784" t="n">
        <v>0.0453</v>
      </c>
      <c r="S1784">
        <f>IMAGE("https://mitra.stanford.edu/kundaje/oak/projects/neuro-variants/variant_position/credible/roussos_2024/variant_figures/roussos_2024.childhood.GLU/rs77924424_count_position.png",4,220,900)</f>
        <v/>
      </c>
      <c r="T1784">
        <f>IMAGE("https://mitra.stanford.edu/kundaje/oak/projects/neuro-variants/variant_position/credible/roussos_2024/variant_figures/roussos_2024.childhood.GLU/rs77924424_profile_position.png",4,220,900)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0.0719585167999999</v>
      </c>
      <c r="G1785" t="n">
        <v>0.08745882078208519</v>
      </c>
      <c r="H1785" t="n">
        <v>0.0263698746542601</v>
      </c>
      <c r="I1785" t="n">
        <v>0.0384135685775919</v>
      </c>
      <c r="J1785" t="n">
        <v>0.2590138770127849</v>
      </c>
      <c r="K1785" t="n">
        <v>0.1150524656018408</v>
      </c>
      <c r="L1785" t="b">
        <v>0</v>
      </c>
      <c r="M1785" t="b">
        <v>0</v>
      </c>
      <c r="N1785" t="inlineStr">
        <is>
          <t>alt</t>
        </is>
      </c>
      <c r="O1785" t="n">
        <v>35</v>
      </c>
      <c r="P1785" t="n">
        <v>0.00489</v>
      </c>
      <c r="Q1785" t="n">
        <v>-85</v>
      </c>
      <c r="R1785" t="n">
        <v>0.09546</v>
      </c>
      <c r="S1785">
        <f>IMAGE("https://mitra.stanford.edu/kundaje/oak/projects/neuro-variants/variant_position/credible/roussos_2024/variant_figures/roussos_2024.childhood.GLU/rs62061720_count_position.png",4,220,900)</f>
        <v/>
      </c>
      <c r="T1785">
        <f>IMAGE("https://mitra.stanford.edu/kundaje/oak/projects/neuro-variants/variant_position/credible/roussos_2024/variant_figures/roussos_2024.childhood.GLU/rs62061720_profile_position.png",4,220,900)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0.0776146526</v>
      </c>
      <c r="G1786" t="n">
        <v>0.0876982840738743</v>
      </c>
      <c r="H1786" t="n">
        <v>0.0260251439247517</v>
      </c>
      <c r="I1786" t="n">
        <v>0.0397129205108995</v>
      </c>
      <c r="J1786" t="n">
        <v>0.2637312371866854</v>
      </c>
      <c r="K1786" t="n">
        <v>0.1124662984833518</v>
      </c>
      <c r="L1786" t="b">
        <v>0</v>
      </c>
      <c r="M1786" t="b">
        <v>0</v>
      </c>
      <c r="N1786" t="inlineStr">
        <is>
          <t>alt</t>
        </is>
      </c>
      <c r="O1786" t="n">
        <v>-75</v>
      </c>
      <c r="P1786" t="n">
        <v>0.00676</v>
      </c>
      <c r="Q1786" t="n">
        <v>100</v>
      </c>
      <c r="R1786" t="n">
        <v>0.02551</v>
      </c>
      <c r="S1786">
        <f>IMAGE("https://mitra.stanford.edu/kundaje/oak/projects/neuro-variants/variant_position/credible/roussos_2024/variant_figures/roussos_2024.childhood.GLU/rs12150460_count_position.png",4,220,900)</f>
        <v/>
      </c>
      <c r="T1786">
        <f>IMAGE("https://mitra.stanford.edu/kundaje/oak/projects/neuro-variants/variant_position/credible/roussos_2024/variant_figures/roussos_2024.childhood.GLU/rs12150460_profile_position.png",4,220,900)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0.0247272095999999</v>
      </c>
      <c r="G1787" t="n">
        <v>0.3909895847262625</v>
      </c>
      <c r="H1787" t="n">
        <v>0.0182604793738915</v>
      </c>
      <c r="I1787" t="n">
        <v>0.1346243684167046</v>
      </c>
      <c r="J1787" t="n">
        <v>0.0921281176919035</v>
      </c>
      <c r="K1787" t="n">
        <v>0.2566171844120332</v>
      </c>
      <c r="L1787" t="b">
        <v>0</v>
      </c>
      <c r="M1787" t="b">
        <v>0</v>
      </c>
      <c r="N1787" t="inlineStr">
        <is>
          <t>alt</t>
        </is>
      </c>
      <c r="O1787" t="n">
        <v>85</v>
      </c>
      <c r="P1787" t="n">
        <v>0.02194</v>
      </c>
      <c r="Q1787" t="n">
        <v>-20</v>
      </c>
      <c r="R1787" t="n">
        <v>0.02274</v>
      </c>
      <c r="S1787">
        <f>IMAGE("https://mitra.stanford.edu/kundaje/oak/projects/neuro-variants/variant_position/credible/roussos_2024/variant_figures/roussos_2024.childhood.GLU/rs62061732_count_position.png",4,220,900)</f>
        <v/>
      </c>
      <c r="T1787">
        <f>IMAGE("https://mitra.stanford.edu/kundaje/oak/projects/neuro-variants/variant_position/credible/roussos_2024/variant_figures/roussos_2024.childhood.GLU/rs62061732_profile_position.png",4,220,900)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-0.1125542152</v>
      </c>
      <c r="G1788" t="n">
        <v>0.0402714516886082</v>
      </c>
      <c r="H1788" t="n">
        <v>0.0319575218368988</v>
      </c>
      <c r="I1788" t="n">
        <v>0.0176329040013071</v>
      </c>
      <c r="J1788" t="n">
        <v>0.1531086775114096</v>
      </c>
      <c r="K1788" t="n">
        <v>0.1842316236990522</v>
      </c>
      <c r="L1788" t="b">
        <v>1</v>
      </c>
      <c r="M1788" t="b">
        <v>0</v>
      </c>
      <c r="N1788" t="inlineStr">
        <is>
          <t>ref</t>
        </is>
      </c>
      <c r="O1788" t="n">
        <v>85</v>
      </c>
      <c r="P1788" t="n">
        <v>0.04852</v>
      </c>
      <c r="Q1788" t="n">
        <v>35</v>
      </c>
      <c r="R1788" t="n">
        <v>0.10815</v>
      </c>
      <c r="S1788">
        <f>IMAGE("https://mitra.stanford.edu/kundaje/oak/projects/neuro-variants/variant_position/credible/roussos_2024/variant_figures/roussos_2024.childhood.GLU/rs62061733_count_position.png",4,220,900)</f>
        <v/>
      </c>
      <c r="T1788">
        <f>IMAGE("https://mitra.stanford.edu/kundaje/oak/projects/neuro-variants/variant_position/credible/roussos_2024/variant_figures/roussos_2024.childhood.GLU/rs62061733_profile_position.png",4,220,900)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0.01206817632</v>
      </c>
      <c r="G1789" t="n">
        <v>0.5911932675768741</v>
      </c>
      <c r="H1789" t="n">
        <v>0.0128421991662261</v>
      </c>
      <c r="I1789" t="n">
        <v>0.3823994816722883</v>
      </c>
      <c r="J1789" t="n">
        <v>0.1114261283443394</v>
      </c>
      <c r="K1789" t="n">
        <v>0.2295509969050428</v>
      </c>
      <c r="L1789" t="b">
        <v>0</v>
      </c>
      <c r="M1789" t="b">
        <v>0</v>
      </c>
      <c r="N1789" t="inlineStr">
        <is>
          <t>alt</t>
        </is>
      </c>
      <c r="O1789" t="n">
        <v>100</v>
      </c>
      <c r="P1789" t="n">
        <v>0.0019455</v>
      </c>
      <c r="Q1789" t="n">
        <v>100</v>
      </c>
      <c r="R1789" t="n">
        <v>0.1561</v>
      </c>
      <c r="S1789">
        <f>IMAGE("https://mitra.stanford.edu/kundaje/oak/projects/neuro-variants/variant_position/credible/roussos_2024/variant_figures/roussos_2024.childhood.GLU/rs62062770_count_position.png",4,220,900)</f>
        <v/>
      </c>
      <c r="T1789">
        <f>IMAGE("https://mitra.stanford.edu/kundaje/oak/projects/neuro-variants/variant_position/credible/roussos_2024/variant_figures/roussos_2024.childhood.GLU/rs62062770_profile_position.png",4,220,900)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-0.0038735759719999</v>
      </c>
      <c r="G1790" t="n">
        <v>0.6915980744532362</v>
      </c>
      <c r="H1790" t="n">
        <v>0.0075101469045652</v>
      </c>
      <c r="I1790" t="n">
        <v>0.8791111671569506</v>
      </c>
      <c r="J1790" t="n">
        <v>0.1286729784581783</v>
      </c>
      <c r="K1790" t="n">
        <v>0.2088509349353372</v>
      </c>
      <c r="L1790" t="b">
        <v>0</v>
      </c>
      <c r="M1790" t="b">
        <v>0</v>
      </c>
      <c r="N1790" t="inlineStr">
        <is>
          <t>ref</t>
        </is>
      </c>
      <c r="O1790" t="n">
        <v>-100</v>
      </c>
      <c r="P1790" t="n">
        <v>0.002575</v>
      </c>
      <c r="Q1790" t="n">
        <v>-40</v>
      </c>
      <c r="R1790" t="n">
        <v>0.0253</v>
      </c>
      <c r="S1790">
        <f>IMAGE("https://mitra.stanford.edu/kundaje/oak/projects/neuro-variants/variant_position/credible/roussos_2024/variant_figures/roussos_2024.childhood.GLU/rs62062772_count_position.png",4,220,900)</f>
        <v/>
      </c>
      <c r="T1790">
        <f>IMAGE("https://mitra.stanford.edu/kundaje/oak/projects/neuro-variants/variant_position/credible/roussos_2024/variant_figures/roussos_2024.childhood.GLU/rs62062772_profile_position.png",4,220,900)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-0.070487788</v>
      </c>
      <c r="G1791" t="n">
        <v>0.0948457851159589</v>
      </c>
      <c r="H1791" t="n">
        <v>0.011690321512181</v>
      </c>
      <c r="I1791" t="n">
        <v>0.4831728522340128</v>
      </c>
      <c r="J1791" t="n">
        <v>0.2849011507515427</v>
      </c>
      <c r="K1791" t="n">
        <v>0.1037530452767543</v>
      </c>
      <c r="L1791" t="b">
        <v>0</v>
      </c>
      <c r="M1791" t="b">
        <v>0</v>
      </c>
      <c r="N1791" t="inlineStr">
        <is>
          <t>ref</t>
        </is>
      </c>
      <c r="O1791" t="n">
        <v>-45</v>
      </c>
      <c r="P1791" t="n">
        <v>0.002516</v>
      </c>
      <c r="Q1791" t="n">
        <v>-90</v>
      </c>
      <c r="R1791" t="n">
        <v>0.10565</v>
      </c>
      <c r="S1791">
        <f>IMAGE("https://mitra.stanford.edu/kundaje/oak/projects/neuro-variants/variant_position/credible/roussos_2024/variant_figures/roussos_2024.childhood.GLU/rs75839508_count_position.png",4,220,900)</f>
        <v/>
      </c>
      <c r="T1791">
        <f>IMAGE("https://mitra.stanford.edu/kundaje/oak/projects/neuro-variants/variant_position/credible/roussos_2024/variant_figures/roussos_2024.childhood.GLU/rs75839508_profile_position.png",4,220,900)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-0.0616719597999999</v>
      </c>
      <c r="G1792" t="n">
        <v>0.1598020217406486</v>
      </c>
      <c r="H1792" t="n">
        <v>0.0156578840531144</v>
      </c>
      <c r="I1792" t="n">
        <v>0.2308027625012967</v>
      </c>
      <c r="J1792" t="n">
        <v>0.1675007984175877</v>
      </c>
      <c r="K1792" t="n">
        <v>0.1728751439076499</v>
      </c>
      <c r="L1792" t="b">
        <v>0</v>
      </c>
      <c r="M1792" t="b">
        <v>0</v>
      </c>
      <c r="N1792" t="inlineStr">
        <is>
          <t>ref</t>
        </is>
      </c>
      <c r="O1792" t="n">
        <v>80</v>
      </c>
      <c r="P1792" t="n">
        <v>0.02426</v>
      </c>
      <c r="Q1792" t="n">
        <v>90</v>
      </c>
      <c r="R1792" t="n">
        <v>0.1648</v>
      </c>
      <c r="S1792">
        <f>IMAGE("https://mitra.stanford.edu/kundaje/oak/projects/neuro-variants/variant_position/credible/roussos_2024/variant_figures/roussos_2024.childhood.GLU/rs62062785_count_position.png",4,220,900)</f>
        <v/>
      </c>
      <c r="T1792">
        <f>IMAGE("https://mitra.stanford.edu/kundaje/oak/projects/neuro-variants/variant_position/credible/roussos_2024/variant_figures/roussos_2024.childhood.GLU/rs62062785_profile_position.png",4,220,900)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-0.197265082</v>
      </c>
      <c r="G1793" t="n">
        <v>0.008212877546696499</v>
      </c>
      <c r="H1793" t="n">
        <v>0.029041613548642</v>
      </c>
      <c r="I1793" t="n">
        <v>0.0252733230205837</v>
      </c>
      <c r="J1793" t="n">
        <v>0.1576292663830137</v>
      </c>
      <c r="K1793" t="n">
        <v>0.1814027655812825</v>
      </c>
      <c r="L1793" t="b">
        <v>1</v>
      </c>
      <c r="M1793" t="b">
        <v>1</v>
      </c>
      <c r="N1793" t="inlineStr">
        <is>
          <t>ref</t>
        </is>
      </c>
      <c r="O1793" t="n">
        <v>-15</v>
      </c>
      <c r="P1793" t="n">
        <v>0.001877</v>
      </c>
      <c r="Q1793" t="n">
        <v>-5</v>
      </c>
      <c r="R1793" t="n">
        <v>0.007324</v>
      </c>
      <c r="S1793">
        <f>IMAGE("https://mitra.stanford.edu/kundaje/oak/projects/neuro-variants/variant_position/credible/roussos_2024/variant_figures/roussos_2024.childhood.GLU/rs62062786_count_position.png",4,220,900)</f>
        <v/>
      </c>
      <c r="T1793">
        <f>IMAGE("https://mitra.stanford.edu/kundaje/oak/projects/neuro-variants/variant_position/credible/roussos_2024/variant_figures/roussos_2024.childhood.GLU/rs62062786_profile_position.png",4,220,900)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0.0567641883999999</v>
      </c>
      <c r="G1794" t="n">
        <v>0.1403428860271987</v>
      </c>
      <c r="H1794" t="n">
        <v>0.0150634938044055</v>
      </c>
      <c r="I1794" t="n">
        <v>0.2471081484014841</v>
      </c>
      <c r="J1794" t="n">
        <v>0.5364809873592467</v>
      </c>
      <c r="K1794" t="n">
        <v>0.0355749298325825</v>
      </c>
      <c r="L1794" t="b">
        <v>0</v>
      </c>
      <c r="M1794" t="b">
        <v>0</v>
      </c>
      <c r="N1794" t="inlineStr">
        <is>
          <t>alt</t>
        </is>
      </c>
      <c r="O1794" t="n">
        <v>-10</v>
      </c>
      <c r="P1794" t="n">
        <v>0.000702</v>
      </c>
      <c r="Q1794" t="n">
        <v>80</v>
      </c>
      <c r="R1794" t="n">
        <v>0.0679</v>
      </c>
      <c r="S1794">
        <f>IMAGE("https://mitra.stanford.edu/kundaje/oak/projects/neuro-variants/variant_position/credible/roussos_2024/variant_figures/roussos_2024.childhood.GLU/rs242561_count_position.png",4,220,900)</f>
        <v/>
      </c>
      <c r="T1794">
        <f>IMAGE("https://mitra.stanford.edu/kundaje/oak/projects/neuro-variants/variant_position/credible/roussos_2024/variant_figures/roussos_2024.childhood.GLU/rs242561_profile_position.png",4,220,900)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-0.01977931296</v>
      </c>
      <c r="G1795" t="n">
        <v>0.4128483286856904</v>
      </c>
      <c r="H1795" t="n">
        <v>0.0166746123612068</v>
      </c>
      <c r="I1795" t="n">
        <v>0.1784522959473369</v>
      </c>
      <c r="J1795" t="n">
        <v>0.3732267402927874</v>
      </c>
      <c r="K1795" t="n">
        <v>0.07215325225400231</v>
      </c>
      <c r="L1795" t="b">
        <v>0</v>
      </c>
      <c r="M1795" t="b">
        <v>0</v>
      </c>
      <c r="N1795" t="inlineStr">
        <is>
          <t>ref</t>
        </is>
      </c>
      <c r="O1795" t="n">
        <v>-100</v>
      </c>
      <c r="P1795" t="n">
        <v>0.00894</v>
      </c>
      <c r="Q1795" t="n">
        <v>-100</v>
      </c>
      <c r="R1795" t="n">
        <v>0.0453</v>
      </c>
      <c r="S1795">
        <f>IMAGE("https://mitra.stanford.edu/kundaje/oak/projects/neuro-variants/variant_position/credible/roussos_2024/variant_figures/roussos_2024.childhood.GLU/rs62062795_count_position.png",4,220,900)</f>
        <v/>
      </c>
      <c r="T1795">
        <f>IMAGE("https://mitra.stanford.edu/kundaje/oak/projects/neuro-variants/variant_position/credible/roussos_2024/variant_figures/roussos_2024.childhood.GLU/rs62062795_profile_position.png",4,220,900)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0.0603377536</v>
      </c>
      <c r="G1796" t="n">
        <v>0.1280516028711604</v>
      </c>
      <c r="H1796" t="n">
        <v>0.0128696991733032</v>
      </c>
      <c r="I1796" t="n">
        <v>0.3856000204541223</v>
      </c>
      <c r="J1796" t="n">
        <v>0.2205651766305747</v>
      </c>
      <c r="K1796" t="n">
        <v>0.1371219121444564</v>
      </c>
      <c r="L1796" t="b">
        <v>0</v>
      </c>
      <c r="M1796" t="b">
        <v>0</v>
      </c>
      <c r="N1796" t="inlineStr">
        <is>
          <t>alt</t>
        </is>
      </c>
      <c r="O1796" t="n">
        <v>90</v>
      </c>
      <c r="P1796" t="n">
        <v>0.00391</v>
      </c>
      <c r="Q1796" t="n">
        <v>-45</v>
      </c>
      <c r="R1796" t="n">
        <v>0.003632</v>
      </c>
      <c r="S1796">
        <f>IMAGE("https://mitra.stanford.edu/kundaje/oak/projects/neuro-variants/variant_position/credible/roussos_2024/variant_figures/roussos_2024.childhood.GLU/rs62062798_count_position.png",4,220,900)</f>
        <v/>
      </c>
      <c r="T1796">
        <f>IMAGE("https://mitra.stanford.edu/kundaje/oak/projects/neuro-variants/variant_position/credible/roussos_2024/variant_figures/roussos_2024.childhood.GLU/rs62062798_profile_position.png",4,220,900)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-0.00715639944</v>
      </c>
      <c r="G1797" t="n">
        <v>0.7499183769623224</v>
      </c>
      <c r="H1797" t="n">
        <v>0.0308702810406589</v>
      </c>
      <c r="I1797" t="n">
        <v>0.0202064454433745</v>
      </c>
      <c r="J1797" t="n">
        <v>0.1076843829519815</v>
      </c>
      <c r="K1797" t="n">
        <v>0.2377767789424397</v>
      </c>
      <c r="L1797" t="b">
        <v>0</v>
      </c>
      <c r="M1797" t="b">
        <v>0</v>
      </c>
      <c r="N1797" t="inlineStr">
        <is>
          <t>ref</t>
        </is>
      </c>
      <c r="O1797" t="n">
        <v>90</v>
      </c>
      <c r="P1797" t="n">
        <v>0.011566</v>
      </c>
      <c r="Q1797" t="n">
        <v>-100</v>
      </c>
      <c r="R1797" t="n">
        <v>0.07263</v>
      </c>
      <c r="S1797">
        <f>IMAGE("https://mitra.stanford.edu/kundaje/oak/projects/neuro-variants/variant_position/credible/roussos_2024/variant_figures/roussos_2024.childhood.GLU/rs62062801_count_position.png",4,220,900)</f>
        <v/>
      </c>
      <c r="T1797">
        <f>IMAGE("https://mitra.stanford.edu/kundaje/oak/projects/neuro-variants/variant_position/credible/roussos_2024/variant_figures/roussos_2024.childhood.GLU/rs62062801_profile_position.png",4,220,900)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0.008216701959999999</v>
      </c>
      <c r="G1798" t="n">
        <v>0.6363092347174301</v>
      </c>
      <c r="H1798" t="n">
        <v>0.0418689219976867</v>
      </c>
      <c r="I1798" t="n">
        <v>0.0055080823077717</v>
      </c>
      <c r="J1798" t="n">
        <v>0.1186366118248219</v>
      </c>
      <c r="K1798" t="n">
        <v>0.2237951695751877</v>
      </c>
      <c r="L1798" t="b">
        <v>1</v>
      </c>
      <c r="M1798" t="b">
        <v>1</v>
      </c>
      <c r="N1798" t="inlineStr">
        <is>
          <t>alt</t>
        </is>
      </c>
      <c r="O1798" t="n">
        <v>75</v>
      </c>
      <c r="P1798" t="n">
        <v>0.0119</v>
      </c>
      <c r="Q1798" t="n">
        <v>-100</v>
      </c>
      <c r="R1798" t="n">
        <v>0.1415</v>
      </c>
      <c r="S1798">
        <f>IMAGE("https://mitra.stanford.edu/kundaje/oak/projects/neuro-variants/variant_position/credible/roussos_2024/variant_figures/roussos_2024.childhood.GLU/rs62062802_count_position.png",4,220,900)</f>
        <v/>
      </c>
      <c r="T1798">
        <f>IMAGE("https://mitra.stanford.edu/kundaje/oak/projects/neuro-variants/variant_position/credible/roussos_2024/variant_figures/roussos_2024.childhood.GLU/rs62062802_profile_position.png",4,220,900)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0.1166927954</v>
      </c>
      <c r="G1799" t="n">
        <v>0.037269641399736</v>
      </c>
      <c r="H1799" t="n">
        <v>0.0203066594136698</v>
      </c>
      <c r="I1799" t="n">
        <v>0.0946534057771173</v>
      </c>
      <c r="J1799" t="n">
        <v>0.4161115518147259</v>
      </c>
      <c r="K1799" t="n">
        <v>0.060407410161196</v>
      </c>
      <c r="L1799" t="b">
        <v>0</v>
      </c>
      <c r="M1799" t="b">
        <v>0</v>
      </c>
      <c r="N1799" t="inlineStr">
        <is>
          <t>alt</t>
        </is>
      </c>
      <c r="O1799" t="n">
        <v>100</v>
      </c>
      <c r="P1799" t="n">
        <v>0.00569</v>
      </c>
      <c r="Q1799" t="n">
        <v>-80</v>
      </c>
      <c r="R1799" t="n">
        <v>0.03662</v>
      </c>
      <c r="S1799">
        <f>IMAGE("https://mitra.stanford.edu/kundaje/oak/projects/neuro-variants/variant_position/credible/roussos_2024/variant_figures/roussos_2024.childhood.GLU/rs62063262_count_position.png",4,220,900)</f>
        <v/>
      </c>
      <c r="T1799">
        <f>IMAGE("https://mitra.stanford.edu/kundaje/oak/projects/neuro-variants/variant_position/credible/roussos_2024/variant_figures/roussos_2024.childhood.GLU/rs62063262_profile_position.png",4,220,900)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0.00763045764</v>
      </c>
      <c r="G1800" t="n">
        <v>0.6733599120123763</v>
      </c>
      <c r="H1800" t="n">
        <v>0.0104103048470955</v>
      </c>
      <c r="I1800" t="n">
        <v>0.613902324497266</v>
      </c>
      <c r="J1800" t="n">
        <v>0.0567875797129816</v>
      </c>
      <c r="K1800" t="n">
        <v>0.3341817639529899</v>
      </c>
      <c r="L1800" t="b">
        <v>0</v>
      </c>
      <c r="M1800" t="b">
        <v>0</v>
      </c>
      <c r="N1800" t="inlineStr">
        <is>
          <t>alt</t>
        </is>
      </c>
      <c r="O1800" t="n">
        <v>100</v>
      </c>
      <c r="P1800" t="n">
        <v>0.01395</v>
      </c>
      <c r="Q1800" t="n">
        <v>100</v>
      </c>
      <c r="R1800" t="n">
        <v>0.2512</v>
      </c>
      <c r="S1800">
        <f>IMAGE("https://mitra.stanford.edu/kundaje/oak/projects/neuro-variants/variant_position/credible/roussos_2024/variant_figures/roussos_2024.childhood.GLU/rs62063269_count_position.png",4,220,900)</f>
        <v/>
      </c>
      <c r="T1800">
        <f>IMAGE("https://mitra.stanford.edu/kundaje/oak/projects/neuro-variants/variant_position/credible/roussos_2024/variant_figures/roussos_2024.childhood.GLU/rs62063269_profile_position.png",4,220,900)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0.0004005005079999</v>
      </c>
      <c r="G1801" t="n">
        <v>0.7429256586172256</v>
      </c>
      <c r="H1801" t="n">
        <v>0.0143962713725916</v>
      </c>
      <c r="I1801" t="n">
        <v>0.2808063736375313</v>
      </c>
      <c r="J1801" t="n">
        <v>0.0581794018564496</v>
      </c>
      <c r="K1801" t="n">
        <v>0.3298311331989562</v>
      </c>
      <c r="L1801" t="b">
        <v>0</v>
      </c>
      <c r="M1801" t="b">
        <v>0</v>
      </c>
      <c r="N1801" t="inlineStr">
        <is>
          <t>alt</t>
        </is>
      </c>
      <c r="O1801" t="n">
        <v>100</v>
      </c>
      <c r="P1801" t="n">
        <v>0.02768</v>
      </c>
      <c r="Q1801" t="n">
        <v>100</v>
      </c>
      <c r="R1801" t="n">
        <v>0.3523</v>
      </c>
      <c r="S1801">
        <f>IMAGE("https://mitra.stanford.edu/kundaje/oak/projects/neuro-variants/variant_position/credible/roussos_2024/variant_figures/roussos_2024.childhood.GLU/rs17571809_count_position.png",4,220,900)</f>
        <v/>
      </c>
      <c r="T1801">
        <f>IMAGE("https://mitra.stanford.edu/kundaje/oak/projects/neuro-variants/variant_position/credible/roussos_2024/variant_figures/roussos_2024.childhood.GLU/rs17571809_profile_position.png",4,220,900)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-0.00629797806</v>
      </c>
      <c r="G1802" t="n">
        <v>0.6683053477893883</v>
      </c>
      <c r="H1802" t="n">
        <v>0.0173386334216625</v>
      </c>
      <c r="I1802" t="n">
        <v>0.1631177416934128</v>
      </c>
      <c r="J1802" t="n">
        <v>0.0374380582484263</v>
      </c>
      <c r="K1802" t="n">
        <v>0.3949098999853987</v>
      </c>
      <c r="L1802" t="b">
        <v>0</v>
      </c>
      <c r="M1802" t="b">
        <v>0</v>
      </c>
      <c r="N1802" t="inlineStr">
        <is>
          <t>ref</t>
        </is>
      </c>
      <c r="O1802" t="n">
        <v>-100</v>
      </c>
      <c r="P1802" t="n">
        <v>0.001976</v>
      </c>
      <c r="Q1802" t="n">
        <v>40</v>
      </c>
      <c r="R1802" t="n">
        <v>0.026</v>
      </c>
      <c r="S1802">
        <f>IMAGE("https://mitra.stanford.edu/kundaje/oak/projects/neuro-variants/variant_position/credible/roussos_2024/variant_figures/roussos_2024.childhood.GLU/rs77555455_count_position.png",4,220,900)</f>
        <v/>
      </c>
      <c r="T1802">
        <f>IMAGE("https://mitra.stanford.edu/kundaje/oak/projects/neuro-variants/variant_position/credible/roussos_2024/variant_figures/roussos_2024.childhood.GLU/rs77555455_profile_position.png",4,220,900)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-0.0503663654</v>
      </c>
      <c r="G1803" t="n">
        <v>0.1828140144305723</v>
      </c>
      <c r="H1803" t="n">
        <v>0.0113211546523397</v>
      </c>
      <c r="I1803" t="n">
        <v>0.5131942463170712</v>
      </c>
      <c r="J1803" t="n">
        <v>0.2029392069395365</v>
      </c>
      <c r="K1803" t="n">
        <v>0.1477554718742328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0.02745</v>
      </c>
      <c r="Q1803" t="n">
        <v>100</v>
      </c>
      <c r="R1803" t="n">
        <v>0.0751</v>
      </c>
      <c r="S1803">
        <f>IMAGE("https://mitra.stanford.edu/kundaje/oak/projects/neuro-variants/variant_position/credible/roussos_2024/variant_figures/roussos_2024.childhood.GLU/rs55711941_count_position.png",4,220,900)</f>
        <v/>
      </c>
      <c r="T1803">
        <f>IMAGE("https://mitra.stanford.edu/kundaje/oak/projects/neuro-variants/variant_position/credible/roussos_2024/variant_figures/roussos_2024.childhood.GLU/rs55711941_profile_position.png",4,220,900)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0.062174213</v>
      </c>
      <c r="G1804" t="n">
        <v>0.1210656859804712</v>
      </c>
      <c r="H1804" t="n">
        <v>0.0118509008886456</v>
      </c>
      <c r="I1804" t="n">
        <v>0.4514899579884741</v>
      </c>
      <c r="J1804" t="n">
        <v>0.3383580413528799</v>
      </c>
      <c r="K1804" t="n">
        <v>0.0834609666887741</v>
      </c>
      <c r="L1804" t="b">
        <v>0</v>
      </c>
      <c r="M1804" t="b">
        <v>0</v>
      </c>
      <c r="N1804" t="inlineStr">
        <is>
          <t>alt</t>
        </is>
      </c>
      <c r="O1804" t="n">
        <v>10</v>
      </c>
      <c r="P1804" t="n">
        <v>0.002167</v>
      </c>
      <c r="Q1804" t="n">
        <v>15</v>
      </c>
      <c r="R1804" t="n">
        <v>0.0249</v>
      </c>
      <c r="S1804">
        <f>IMAGE("https://mitra.stanford.edu/kundaje/oak/projects/neuro-variants/variant_position/credible/roussos_2024/variant_figures/roussos_2024.childhood.GLU/rs55709241_count_position.png",4,220,900)</f>
        <v/>
      </c>
      <c r="T1804">
        <f>IMAGE("https://mitra.stanford.edu/kundaje/oak/projects/neuro-variants/variant_position/credible/roussos_2024/variant_figures/roussos_2024.childhood.GLU/rs55709241_profile_position.png",4,220,900)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0.0163403737</v>
      </c>
      <c r="G1805" t="n">
        <v>0.5060874133134541</v>
      </c>
      <c r="H1805" t="n">
        <v>0.036207951236047</v>
      </c>
      <c r="I1805" t="n">
        <v>0.009803805440263399</v>
      </c>
      <c r="J1805" t="n">
        <v>0.3043485427591251</v>
      </c>
      <c r="K1805" t="n">
        <v>0.095331939009679</v>
      </c>
      <c r="L1805" t="b">
        <v>1</v>
      </c>
      <c r="M1805" t="b">
        <v>1</v>
      </c>
      <c r="N1805" t="inlineStr">
        <is>
          <t>alt</t>
        </is>
      </c>
      <c r="O1805" t="n">
        <v>-90</v>
      </c>
      <c r="P1805" t="n">
        <v>0.001839</v>
      </c>
      <c r="Q1805" t="n">
        <v>-100</v>
      </c>
      <c r="R1805" t="n">
        <v>0.1896</v>
      </c>
      <c r="S1805">
        <f>IMAGE("https://mitra.stanford.edu/kundaje/oak/projects/neuro-variants/variant_position/credible/roussos_2024/variant_figures/roussos_2024.childhood.GLU/rs112058117_count_position.png",4,220,900)</f>
        <v/>
      </c>
      <c r="T1805">
        <f>IMAGE("https://mitra.stanford.edu/kundaje/oak/projects/neuro-variants/variant_position/credible/roussos_2024/variant_figures/roussos_2024.childhood.GLU/rs112058117_profile_position.png",4,220,900)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-0.0398804682</v>
      </c>
      <c r="G1806" t="n">
        <v>0.2434229100707607</v>
      </c>
      <c r="H1806" t="n">
        <v>0.0211742085945824</v>
      </c>
      <c r="I1806" t="n">
        <v>0.0804256025520355</v>
      </c>
      <c r="J1806" t="n">
        <v>0.318199800138049</v>
      </c>
      <c r="K1806" t="n">
        <v>0.0901103924377579</v>
      </c>
      <c r="L1806" t="b">
        <v>0</v>
      </c>
      <c r="M1806" t="b">
        <v>0</v>
      </c>
      <c r="N1806" t="inlineStr">
        <is>
          <t>ref</t>
        </is>
      </c>
      <c r="O1806" t="n">
        <v>30</v>
      </c>
      <c r="P1806" t="n">
        <v>0.005028</v>
      </c>
      <c r="Q1806" t="n">
        <v>10</v>
      </c>
      <c r="R1806" t="n">
        <v>0.01782</v>
      </c>
      <c r="S1806">
        <f>IMAGE("https://mitra.stanford.edu/kundaje/oak/projects/neuro-variants/variant_position/credible/roussos_2024/variant_figures/roussos_2024.childhood.GLU/rs62063291_count_position.png",4,220,900)</f>
        <v/>
      </c>
      <c r="T1806">
        <f>IMAGE("https://mitra.stanford.edu/kundaje/oak/projects/neuro-variants/variant_position/credible/roussos_2024/variant_figures/roussos_2024.childhood.GLU/rs62063291_profile_position.png",4,220,900)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0.0525788505999999</v>
      </c>
      <c r="G1807" t="n">
        <v>0.1655279846256515</v>
      </c>
      <c r="H1807" t="n">
        <v>0.0145297123283289</v>
      </c>
      <c r="I1807" t="n">
        <v>0.2764517594735872</v>
      </c>
      <c r="J1807" t="n">
        <v>0.1448731288697497</v>
      </c>
      <c r="K1807" t="n">
        <v>0.1924504325220631</v>
      </c>
      <c r="L1807" t="b">
        <v>0</v>
      </c>
      <c r="M1807" t="b">
        <v>0</v>
      </c>
      <c r="N1807" t="inlineStr">
        <is>
          <t>alt</t>
        </is>
      </c>
      <c r="O1807" t="n">
        <v>100</v>
      </c>
      <c r="P1807" t="n">
        <v>0.003338</v>
      </c>
      <c r="Q1807" t="n">
        <v>-100</v>
      </c>
      <c r="R1807" t="n">
        <v>0.08765000000000001</v>
      </c>
      <c r="S1807">
        <f>IMAGE("https://mitra.stanford.edu/kundaje/oak/projects/neuro-variants/variant_position/credible/roussos_2024/variant_figures/roussos_2024.childhood.GLU/rs17650991_count_position.png",4,220,900)</f>
        <v/>
      </c>
      <c r="T1807">
        <f>IMAGE("https://mitra.stanford.edu/kundaje/oak/projects/neuro-variants/variant_position/credible/roussos_2024/variant_figures/roussos_2024.childhood.GLU/rs17650991_profile_position.png",4,220,900)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-0.0269143172</v>
      </c>
      <c r="G1808" t="n">
        <v>0.372390505321925</v>
      </c>
      <c r="H1808" t="n">
        <v>0.0199859840867965</v>
      </c>
      <c r="I1808" t="n">
        <v>0.0986102997627142</v>
      </c>
      <c r="J1808" t="n">
        <v>0.5351787940288666</v>
      </c>
      <c r="K1808" t="n">
        <v>0.0361646435301156</v>
      </c>
      <c r="L1808" t="b">
        <v>0</v>
      </c>
      <c r="M1808" t="b">
        <v>0</v>
      </c>
      <c r="N1808" t="inlineStr">
        <is>
          <t>ref</t>
        </is>
      </c>
      <c r="O1808" t="n">
        <v>100</v>
      </c>
      <c r="P1808" t="n">
        <v>0.01192</v>
      </c>
      <c r="Q1808" t="n">
        <v>95</v>
      </c>
      <c r="R1808" t="n">
        <v>0.126</v>
      </c>
      <c r="S1808">
        <f>IMAGE("https://mitra.stanford.edu/kundaje/oak/projects/neuro-variants/variant_position/credible/roussos_2024/variant_figures/roussos_2024.childhood.GLU/rs62063303_count_position.png",4,220,900)</f>
        <v/>
      </c>
      <c r="T1808">
        <f>IMAGE("https://mitra.stanford.edu/kundaje/oak/projects/neuro-variants/variant_position/credible/roussos_2024/variant_figures/roussos_2024.childhood.GLU/rs62063303_profile_position.png",4,220,900)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-0.122160899</v>
      </c>
      <c r="G1809" t="n">
        <v>0.0287423684488636</v>
      </c>
      <c r="H1809" t="n">
        <v>0.0172690722197302</v>
      </c>
      <c r="I1809" t="n">
        <v>0.1607640176361454</v>
      </c>
      <c r="J1809" t="n">
        <v>0.5771817404473198</v>
      </c>
      <c r="K1809" t="n">
        <v>0.0296527886099138</v>
      </c>
      <c r="L1809" t="b">
        <v>0</v>
      </c>
      <c r="M1809" t="b">
        <v>0</v>
      </c>
      <c r="N1809" t="inlineStr">
        <is>
          <t>ref</t>
        </is>
      </c>
      <c r="O1809" t="n">
        <v>70</v>
      </c>
      <c r="P1809" t="n">
        <v>0.00804</v>
      </c>
      <c r="Q1809" t="n">
        <v>100</v>
      </c>
      <c r="R1809" t="n">
        <v>0.05786</v>
      </c>
      <c r="S1809">
        <f>IMAGE("https://mitra.stanford.edu/kundaje/oak/projects/neuro-variants/variant_position/credible/roussos_2024/variant_figures/roussos_2024.childhood.GLU/rs75242405_count_position.png",4,220,900)</f>
        <v/>
      </c>
      <c r="T1809">
        <f>IMAGE("https://mitra.stanford.edu/kundaje/oak/projects/neuro-variants/variant_position/credible/roussos_2024/variant_figures/roussos_2024.childhood.GLU/rs75242405_profile_position.png",4,220,900)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0.056466202</v>
      </c>
      <c r="G1810" t="n">
        <v>0.1431502721325467</v>
      </c>
      <c r="H1810" t="n">
        <v>0.0098032376629416</v>
      </c>
      <c r="I1810" t="n">
        <v>0.6849650825471789</v>
      </c>
      <c r="J1810" t="n">
        <v>0.3848764255617254</v>
      </c>
      <c r="K1810" t="n">
        <v>0.0684303728598612</v>
      </c>
      <c r="L1810" t="b">
        <v>0</v>
      </c>
      <c r="M1810" t="b">
        <v>0</v>
      </c>
      <c r="N1810" t="inlineStr">
        <is>
          <t>alt</t>
        </is>
      </c>
      <c r="O1810" t="n">
        <v>85</v>
      </c>
      <c r="P1810" t="n">
        <v>0.008840000000000001</v>
      </c>
      <c r="Q1810" t="n">
        <v>85</v>
      </c>
      <c r="R1810" t="n">
        <v>0.1636</v>
      </c>
      <c r="S1810">
        <f>IMAGE("https://mitra.stanford.edu/kundaje/oak/projects/neuro-variants/variant_position/credible/roussos_2024/variant_figures/roussos_2024.childhood.GLU/rs62063776_count_position.png",4,220,900)</f>
        <v/>
      </c>
      <c r="T1810">
        <f>IMAGE("https://mitra.stanford.edu/kundaje/oak/projects/neuro-variants/variant_position/credible/roussos_2024/variant_figures/roussos_2024.childhood.GLU/rs62063776_profile_position.png",4,220,900)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0.08812445499999989</v>
      </c>
      <c r="G1811" t="n">
        <v>0.0612834413926823</v>
      </c>
      <c r="H1811" t="n">
        <v>0.0152502262490731</v>
      </c>
      <c r="I1811" t="n">
        <v>0.2514129231552678</v>
      </c>
      <c r="J1811" t="n">
        <v>0.4134845003966332</v>
      </c>
      <c r="K1811" t="n">
        <v>0.0607457743028373</v>
      </c>
      <c r="L1811" t="b">
        <v>0</v>
      </c>
      <c r="M1811" t="b">
        <v>0</v>
      </c>
      <c r="N1811" t="inlineStr">
        <is>
          <t>alt</t>
        </is>
      </c>
      <c r="O1811" t="n">
        <v>80</v>
      </c>
      <c r="P1811" t="n">
        <v>0.001755</v>
      </c>
      <c r="Q1811" t="n">
        <v>90</v>
      </c>
      <c r="R1811" t="n">
        <v>0.126</v>
      </c>
      <c r="S1811">
        <f>IMAGE("https://mitra.stanford.edu/kundaje/oak/projects/neuro-variants/variant_position/credible/roussos_2024/variant_figures/roussos_2024.childhood.GLU/rs17572467_count_position.png",4,220,900)</f>
        <v/>
      </c>
      <c r="T1811">
        <f>IMAGE("https://mitra.stanford.edu/kundaje/oak/projects/neuro-variants/variant_position/credible/roussos_2024/variant_figures/roussos_2024.childhood.GLU/rs17572467_profile_position.png",4,220,900)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0.0900014942</v>
      </c>
      <c r="G1812" t="n">
        <v>0.0719780677137578</v>
      </c>
      <c r="H1812" t="n">
        <v>0.016610307301994</v>
      </c>
      <c r="I1812" t="n">
        <v>0.1850539711859297</v>
      </c>
      <c r="J1812" t="n">
        <v>0.3786539194576941</v>
      </c>
      <c r="K1812" t="n">
        <v>0.0703873049931617</v>
      </c>
      <c r="L1812" t="b">
        <v>0</v>
      </c>
      <c r="M1812" t="b">
        <v>0</v>
      </c>
      <c r="N1812" t="inlineStr">
        <is>
          <t>alt</t>
        </is>
      </c>
      <c r="O1812" t="n">
        <v>-95</v>
      </c>
      <c r="P1812" t="n">
        <v>0.01438</v>
      </c>
      <c r="Q1812" t="n">
        <v>-75</v>
      </c>
      <c r="R1812" t="n">
        <v>0.1074</v>
      </c>
      <c r="S1812">
        <f>IMAGE("https://mitra.stanford.edu/kundaje/oak/projects/neuro-variants/variant_position/credible/roussos_2024/variant_figures/roussos_2024.childhood.GLU/rs17572495_count_position.png",4,220,900)</f>
        <v/>
      </c>
      <c r="T1812">
        <f>IMAGE("https://mitra.stanford.edu/kundaje/oak/projects/neuro-variants/variant_position/credible/roussos_2024/variant_figures/roussos_2024.childhood.GLU/rs17572495_profile_position.png",4,220,900)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-0.13326194</v>
      </c>
      <c r="G1813" t="n">
        <v>0.0253108038407785</v>
      </c>
      <c r="H1813" t="n">
        <v>0.0196877978708415</v>
      </c>
      <c r="I1813" t="n">
        <v>0.1049815853205349</v>
      </c>
      <c r="J1813" t="n">
        <v>0.6768098323838173</v>
      </c>
      <c r="K1813" t="n">
        <v>0.0171377497837384</v>
      </c>
      <c r="L1813" t="b">
        <v>0</v>
      </c>
      <c r="M1813" t="b">
        <v>0</v>
      </c>
      <c r="N1813" t="inlineStr">
        <is>
          <t>ref</t>
        </is>
      </c>
      <c r="O1813" t="n">
        <v>100</v>
      </c>
      <c r="P1813" t="n">
        <v>0.003075</v>
      </c>
      <c r="Q1813" t="n">
        <v>100</v>
      </c>
      <c r="R1813" t="n">
        <v>0.1514</v>
      </c>
      <c r="S1813">
        <f>IMAGE("https://mitra.stanford.edu/kundaje/oak/projects/neuro-variants/variant_position/credible/roussos_2024/variant_figures/roussos_2024.childhood.GLU/rs56234850_count_position.png",4,220,900)</f>
        <v/>
      </c>
      <c r="T1813">
        <f>IMAGE("https://mitra.stanford.edu/kundaje/oak/projects/neuro-variants/variant_position/credible/roussos_2024/variant_figures/roussos_2024.childhood.GLU/rs56234850_profile_position.png",4,220,900)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0.0066842989</v>
      </c>
      <c r="G1814" t="n">
        <v>0.674234691409792</v>
      </c>
      <c r="H1814" t="n">
        <v>0.028147618367638</v>
      </c>
      <c r="I1814" t="n">
        <v>0.0271362253005613</v>
      </c>
      <c r="J1814" t="n">
        <v>0.3068416660657072</v>
      </c>
      <c r="K1814" t="n">
        <v>0.094818844340758</v>
      </c>
      <c r="L1814" t="b">
        <v>0</v>
      </c>
      <c r="M1814" t="b">
        <v>0</v>
      </c>
      <c r="N1814" t="inlineStr">
        <is>
          <t>alt</t>
        </is>
      </c>
      <c r="O1814" t="n">
        <v>-100</v>
      </c>
      <c r="P1814" t="n">
        <v>0.003075</v>
      </c>
      <c r="Q1814" t="n">
        <v>75</v>
      </c>
      <c r="R1814" t="n">
        <v>0.0536</v>
      </c>
      <c r="S1814">
        <f>IMAGE("https://mitra.stanford.edu/kundaje/oak/projects/neuro-variants/variant_position/credible/roussos_2024/variant_figures/roussos_2024.childhood.GLU/rs10445371_count_position.png",4,220,900)</f>
        <v/>
      </c>
      <c r="T1814">
        <f>IMAGE("https://mitra.stanford.edu/kundaje/oak/projects/neuro-variants/variant_position/credible/roussos_2024/variant_figures/roussos_2024.childhood.GLU/rs10445371_profile_position.png",4,220,900)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-0.354978656</v>
      </c>
      <c r="G1815" t="n">
        <v>0.0014135628192624</v>
      </c>
      <c r="H1815" t="n">
        <v>0.0421348373156409</v>
      </c>
      <c r="I1815" t="n">
        <v>0.0063710985444316</v>
      </c>
      <c r="J1815" t="n">
        <v>0.300209133897205</v>
      </c>
      <c r="K1815" t="n">
        <v>0.09731651054489179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0.01566</v>
      </c>
      <c r="Q1815" t="n">
        <v>-100</v>
      </c>
      <c r="R1815" t="n">
        <v>0.04688</v>
      </c>
      <c r="S1815">
        <f>IMAGE("https://mitra.stanford.edu/kundaje/oak/projects/neuro-variants/variant_position/credible/roussos_2024/variant_figures/roussos_2024.childhood.GLU/rs919464_count_position.png",4,220,900)</f>
        <v/>
      </c>
      <c r="T1815">
        <f>IMAGE("https://mitra.stanford.edu/kundaje/oak/projects/neuro-variants/variant_position/credible/roussos_2024/variant_figures/roussos_2024.childhood.GLU/rs919464_profile_position.png",4,220,900)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0.009286549825999999</v>
      </c>
      <c r="G1816" t="n">
        <v>0.6909784127645537</v>
      </c>
      <c r="H1816" t="n">
        <v>0.0089037512695588</v>
      </c>
      <c r="I1816" t="n">
        <v>0.7680267253191707</v>
      </c>
      <c r="J1816" t="n">
        <v>0.09971669053334289</v>
      </c>
      <c r="K1816" t="n">
        <v>0.2481860447014005</v>
      </c>
      <c r="L1816" t="b">
        <v>0</v>
      </c>
      <c r="M1816" t="b">
        <v>0</v>
      </c>
      <c r="N1816" t="inlineStr">
        <is>
          <t>alt</t>
        </is>
      </c>
      <c r="O1816" t="n">
        <v>-90</v>
      </c>
      <c r="P1816" t="n">
        <v>0.01714</v>
      </c>
      <c r="Q1816" t="n">
        <v>-100</v>
      </c>
      <c r="R1816" t="n">
        <v>0.1467</v>
      </c>
      <c r="S1816">
        <f>IMAGE("https://mitra.stanford.edu/kundaje/oak/projects/neuro-variants/variant_position/credible/roussos_2024/variant_figures/roussos_2024.childhood.GLU/rs10445337_count_position.png",4,220,900)</f>
        <v/>
      </c>
      <c r="T1816">
        <f>IMAGE("https://mitra.stanford.edu/kundaje/oak/projects/neuro-variants/variant_position/credible/roussos_2024/variant_figures/roussos_2024.childhood.GLU/rs10445337_profile_position.png",4,220,900)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-0.080259839</v>
      </c>
      <c r="G1817" t="n">
        <v>0.0731647566683146</v>
      </c>
      <c r="H1817" t="n">
        <v>0.0207179998425739</v>
      </c>
      <c r="I1817" t="n">
        <v>0.08690307218299299</v>
      </c>
      <c r="J1817" t="n">
        <v>0.1901418607765769</v>
      </c>
      <c r="K1817" t="n">
        <v>0.1597216487863012</v>
      </c>
      <c r="L1817" t="b">
        <v>0</v>
      </c>
      <c r="M1817" t="b">
        <v>0</v>
      </c>
      <c r="N1817" t="inlineStr">
        <is>
          <t>ref</t>
        </is>
      </c>
      <c r="O1817" t="n">
        <v>55</v>
      </c>
      <c r="P1817" t="n">
        <v>0.001247</v>
      </c>
      <c r="Q1817" t="n">
        <v>30</v>
      </c>
      <c r="R1817" t="n">
        <v>0.05</v>
      </c>
      <c r="S1817">
        <f>IMAGE("https://mitra.stanford.edu/kundaje/oak/projects/neuro-variants/variant_position/credible/roussos_2024/variant_figures/roussos_2024.childhood.GLU/rs62063796_count_position.png",4,220,900)</f>
        <v/>
      </c>
      <c r="T1817">
        <f>IMAGE("https://mitra.stanford.edu/kundaje/oak/projects/neuro-variants/variant_position/credible/roussos_2024/variant_figures/roussos_2024.childhood.GLU/rs62063796_profile_position.png",4,220,900)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0.1212216799999999</v>
      </c>
      <c r="G1818" t="n">
        <v>0.0299714679025659</v>
      </c>
      <c r="H1818" t="n">
        <v>0.0205564653153369</v>
      </c>
      <c r="I1818" t="n">
        <v>0.0933487539604294</v>
      </c>
      <c r="J1818" t="n">
        <v>0.2615842665375462</v>
      </c>
      <c r="K1818" t="n">
        <v>0.1164629354316972</v>
      </c>
      <c r="L1818" t="b">
        <v>0</v>
      </c>
      <c r="M1818" t="b">
        <v>0</v>
      </c>
      <c r="N1818" t="inlineStr">
        <is>
          <t>alt</t>
        </is>
      </c>
      <c r="O1818" t="n">
        <v>-55</v>
      </c>
      <c r="P1818" t="n">
        <v>0.001784</v>
      </c>
      <c r="Q1818" t="n">
        <v>-100</v>
      </c>
      <c r="R1818" t="n">
        <v>0.1345</v>
      </c>
      <c r="S1818">
        <f>IMAGE("https://mitra.stanford.edu/kundaje/oak/projects/neuro-variants/variant_position/credible/roussos_2024/variant_figures/roussos_2024.childhood.GLU/rs77290642_count_position.png",4,220,900)</f>
        <v/>
      </c>
      <c r="T1818">
        <f>IMAGE("https://mitra.stanford.edu/kundaje/oak/projects/neuro-variants/variant_position/credible/roussos_2024/variant_figures/roussos_2024.childhood.GLU/rs77290642_profile_position.png",4,220,900)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-0.1214451459999999</v>
      </c>
      <c r="G1819" t="n">
        <v>0.0327878028700092</v>
      </c>
      <c r="H1819" t="n">
        <v>0.0140375770250717</v>
      </c>
      <c r="I1819" t="n">
        <v>0.301492850410769</v>
      </c>
      <c r="J1819" t="n">
        <v>0.2238258110377367</v>
      </c>
      <c r="K1819" t="n">
        <v>0.1348602696375683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0.0188</v>
      </c>
      <c r="Q1819" t="n">
        <v>30</v>
      </c>
      <c r="R1819" t="n">
        <v>0.05933</v>
      </c>
      <c r="S1819">
        <f>IMAGE("https://mitra.stanford.edu/kundaje/oak/projects/neuro-variants/variant_position/credible/roussos_2024/variant_figures/roussos_2024.childhood.GLU/rs1052551_count_position.png",4,220,900)</f>
        <v/>
      </c>
      <c r="T1819">
        <f>IMAGE("https://mitra.stanford.edu/kundaje/oak/projects/neuro-variants/variant_position/credible/roussos_2024/variant_figures/roussos_2024.childhood.GLU/rs1052551_profile_position.png",4,220,900)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-0.166889342</v>
      </c>
      <c r="G1820" t="n">
        <v>0.0126351858093035</v>
      </c>
      <c r="H1820" t="n">
        <v>0.0210431115615821</v>
      </c>
      <c r="I1820" t="n">
        <v>0.0832913178678226</v>
      </c>
      <c r="J1820" t="n">
        <v>0.2765594898369167</v>
      </c>
      <c r="K1820" t="n">
        <v>0.1067924713812692</v>
      </c>
      <c r="L1820" t="b">
        <v>1</v>
      </c>
      <c r="M1820" t="b">
        <v>0</v>
      </c>
      <c r="N1820" t="inlineStr">
        <is>
          <t>ref</t>
        </is>
      </c>
      <c r="O1820" t="n">
        <v>-100</v>
      </c>
      <c r="P1820" t="n">
        <v>0.01761</v>
      </c>
      <c r="Q1820" t="n">
        <v>-100</v>
      </c>
      <c r="R1820" t="n">
        <v>0.10736</v>
      </c>
      <c r="S1820">
        <f>IMAGE("https://mitra.stanford.edu/kundaje/oak/projects/neuro-variants/variant_position/credible/roussos_2024/variant_figures/roussos_2024.childhood.GLU/rs74759276_count_position.png",4,220,900)</f>
        <v/>
      </c>
      <c r="T1820">
        <f>IMAGE("https://mitra.stanford.edu/kundaje/oak/projects/neuro-variants/variant_position/credible/roussos_2024/variant_figures/roussos_2024.childhood.GLU/rs74759276_profile_position.png",4,220,900)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0.064261258</v>
      </c>
      <c r="G1821" t="n">
        <v>0.1251123521619679</v>
      </c>
      <c r="H1821" t="n">
        <v>0.0182377157905696</v>
      </c>
      <c r="I1821" t="n">
        <v>0.1497461281272451</v>
      </c>
      <c r="J1821" t="n">
        <v>0.3028269133691162</v>
      </c>
      <c r="K1821" t="n">
        <v>0.0958502608661083</v>
      </c>
      <c r="L1821" t="b">
        <v>0</v>
      </c>
      <c r="M1821" t="b">
        <v>0</v>
      </c>
      <c r="N1821" t="inlineStr">
        <is>
          <t>alt</t>
        </is>
      </c>
      <c r="O1821" t="n">
        <v>-100</v>
      </c>
      <c r="P1821" t="n">
        <v>0.01328</v>
      </c>
      <c r="Q1821" t="n">
        <v>10</v>
      </c>
      <c r="R1821" t="n">
        <v>0.0177</v>
      </c>
      <c r="S1821">
        <f>IMAGE("https://mitra.stanford.edu/kundaje/oak/projects/neuro-variants/variant_position/credible/roussos_2024/variant_figures/roussos_2024.childhood.GLU/rs17651887_count_position.png",4,220,900)</f>
        <v/>
      </c>
      <c r="T1821">
        <f>IMAGE("https://mitra.stanford.edu/kundaje/oak/projects/neuro-variants/variant_position/credible/roussos_2024/variant_figures/roussos_2024.childhood.GLU/rs17651887_profile_position.png",4,220,900)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-0.00949775274</v>
      </c>
      <c r="G1822" t="n">
        <v>0.6794807379032242</v>
      </c>
      <c r="H1822" t="n">
        <v>0.0304263611346514</v>
      </c>
      <c r="I1822" t="n">
        <v>0.0196990283838362</v>
      </c>
      <c r="J1822" t="n">
        <v>0.1830993025436038</v>
      </c>
      <c r="K1822" t="n">
        <v>0.1610433869084648</v>
      </c>
      <c r="L1822" t="b">
        <v>1</v>
      </c>
      <c r="M1822" t="b">
        <v>0</v>
      </c>
      <c r="N1822" t="inlineStr">
        <is>
          <t>ref</t>
        </is>
      </c>
      <c r="O1822" t="n">
        <v>-100</v>
      </c>
      <c r="P1822" t="n">
        <v>0.01645</v>
      </c>
      <c r="Q1822" t="n">
        <v>100</v>
      </c>
      <c r="R1822" t="n">
        <v>0.1027</v>
      </c>
      <c r="S1822">
        <f>IMAGE("https://mitra.stanford.edu/kundaje/oak/projects/neuro-variants/variant_position/credible/roussos_2024/variant_figures/roussos_2024.childhood.GLU/rs55913645_count_position.png",4,220,900)</f>
        <v/>
      </c>
      <c r="T1822">
        <f>IMAGE("https://mitra.stanford.edu/kundaje/oak/projects/neuro-variants/variant_position/credible/roussos_2024/variant_figures/roussos_2024.childhood.GLU/rs55913645_profile_position.png",4,220,900)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-0.01673597406</v>
      </c>
      <c r="G1823" t="n">
        <v>0.4946342151954719</v>
      </c>
      <c r="H1823" t="n">
        <v>0.0099950633076927</v>
      </c>
      <c r="I1823" t="n">
        <v>0.6643184577464618</v>
      </c>
      <c r="J1823" t="n">
        <v>0.3715588201963591</v>
      </c>
      <c r="K1823" t="n">
        <v>0.07244123366096859</v>
      </c>
      <c r="L1823" t="b">
        <v>0</v>
      </c>
      <c r="M1823" t="b">
        <v>0</v>
      </c>
      <c r="N1823" t="inlineStr">
        <is>
          <t>ref</t>
        </is>
      </c>
      <c r="O1823" t="n">
        <v>-85</v>
      </c>
      <c r="P1823" t="n">
        <v>0.007713</v>
      </c>
      <c r="Q1823" t="n">
        <v>85</v>
      </c>
      <c r="R1823" t="n">
        <v>0.0547</v>
      </c>
      <c r="S1823">
        <f>IMAGE("https://mitra.stanford.edu/kundaje/oak/projects/neuro-variants/variant_position/credible/roussos_2024/variant_figures/roussos_2024.childhood.GLU/rs62063849_count_position.png",4,220,900)</f>
        <v/>
      </c>
      <c r="T1823">
        <f>IMAGE("https://mitra.stanford.edu/kundaje/oak/projects/neuro-variants/variant_position/credible/roussos_2024/variant_figures/roussos_2024.childhood.GLU/rs62063849_profile_position.png",4,220,900)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-0.0477248813999999</v>
      </c>
      <c r="G1824" t="n">
        <v>0.2107639803800995</v>
      </c>
      <c r="H1824" t="n">
        <v>0.019476423071313</v>
      </c>
      <c r="I1824" t="n">
        <v>0.1248278657839754</v>
      </c>
      <c r="J1824" t="n">
        <v>0.6136503652116579</v>
      </c>
      <c r="K1824" t="n">
        <v>0.024552719431141</v>
      </c>
      <c r="L1824" t="b">
        <v>0</v>
      </c>
      <c r="M1824" t="b">
        <v>0</v>
      </c>
      <c r="N1824" t="inlineStr">
        <is>
          <t>ref</t>
        </is>
      </c>
      <c r="O1824" t="n">
        <v>15</v>
      </c>
      <c r="P1824" t="n">
        <v>0.0003757</v>
      </c>
      <c r="Q1824" t="n">
        <v>25</v>
      </c>
      <c r="R1824" t="n">
        <v>0.02298</v>
      </c>
      <c r="S1824">
        <f>IMAGE("https://mitra.stanford.edu/kundaje/oak/projects/neuro-variants/variant_position/credible/roussos_2024/variant_figures/roussos_2024.childhood.GLU/rs62063851_count_position.png",4,220,900)</f>
        <v/>
      </c>
      <c r="T1824">
        <f>IMAGE("https://mitra.stanford.edu/kundaje/oak/projects/neuro-variants/variant_position/credible/roussos_2024/variant_figures/roussos_2024.childhood.GLU/rs62063851_profile_position.png",4,220,900)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0.011502361</v>
      </c>
      <c r="G1825" t="n">
        <v>0.6044487444650325</v>
      </c>
      <c r="H1825" t="n">
        <v>0.0102730695475083</v>
      </c>
      <c r="I1825" t="n">
        <v>0.6299266102754757</v>
      </c>
      <c r="J1825" t="n">
        <v>0.5156850422903767</v>
      </c>
      <c r="K1825" t="n">
        <v>0.0392738032279848</v>
      </c>
      <c r="L1825" t="b">
        <v>0</v>
      </c>
      <c r="M1825" t="b">
        <v>0</v>
      </c>
      <c r="N1825" t="inlineStr">
        <is>
          <t>alt</t>
        </is>
      </c>
      <c r="O1825" t="n">
        <v>-15</v>
      </c>
      <c r="P1825" t="n">
        <v>0.00238</v>
      </c>
      <c r="Q1825" t="n">
        <v>100</v>
      </c>
      <c r="R1825" t="n">
        <v>0.08966</v>
      </c>
      <c r="S1825">
        <f>IMAGE("https://mitra.stanford.edu/kundaje/oak/projects/neuro-variants/variant_position/credible/roussos_2024/variant_figures/roussos_2024.childhood.GLU/rs2004673_count_position.png",4,220,900)</f>
        <v/>
      </c>
      <c r="T1825">
        <f>IMAGE("https://mitra.stanford.edu/kundaje/oak/projects/neuro-variants/variant_position/credible/roussos_2024/variant_figures/roussos_2024.childhood.GLU/rs2004673_profile_position.png",4,220,900)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0.0123578580679999</v>
      </c>
      <c r="G1826" t="n">
        <v>0.5385899511597566</v>
      </c>
      <c r="H1826" t="n">
        <v>0.0131884955212818</v>
      </c>
      <c r="I1826" t="n">
        <v>0.3557458975332714</v>
      </c>
      <c r="J1826" t="n">
        <v>0.4260490176888128</v>
      </c>
      <c r="K1826" t="n">
        <v>0.0578070651648102</v>
      </c>
      <c r="L1826" t="b">
        <v>0</v>
      </c>
      <c r="M1826" t="b">
        <v>0</v>
      </c>
      <c r="N1826" t="inlineStr">
        <is>
          <t>alt</t>
        </is>
      </c>
      <c r="O1826" t="n">
        <v>-100</v>
      </c>
      <c r="P1826" t="n">
        <v>0.010345</v>
      </c>
      <c r="Q1826" t="n">
        <v>-15</v>
      </c>
      <c r="R1826" t="n">
        <v>0.02039</v>
      </c>
      <c r="S1826">
        <f>IMAGE("https://mitra.stanford.edu/kundaje/oak/projects/neuro-variants/variant_position/credible/roussos_2024/variant_figures/roussos_2024.childhood.GLU/rs1078269_count_position.png",4,220,900)</f>
        <v/>
      </c>
      <c r="T1826">
        <f>IMAGE("https://mitra.stanford.edu/kundaje/oak/projects/neuro-variants/variant_position/credible/roussos_2024/variant_figures/roussos_2024.childhood.GLU/rs1078269_profile_position.png",4,220,900)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0.0097574168</v>
      </c>
      <c r="G1827" t="n">
        <v>0.6060022473441662</v>
      </c>
      <c r="H1827" t="n">
        <v>0.0277605796117281</v>
      </c>
      <c r="I1827" t="n">
        <v>0.0286176687459513</v>
      </c>
      <c r="J1827" t="n">
        <v>0.079603778833177</v>
      </c>
      <c r="K1827" t="n">
        <v>0.2827541957749348</v>
      </c>
      <c r="L1827" t="b">
        <v>0</v>
      </c>
      <c r="M1827" t="b">
        <v>0</v>
      </c>
      <c r="N1827" t="inlineStr">
        <is>
          <t>alt</t>
        </is>
      </c>
      <c r="O1827" t="n">
        <v>-60</v>
      </c>
      <c r="P1827" t="n">
        <v>0.02612</v>
      </c>
      <c r="Q1827" t="n">
        <v>80</v>
      </c>
      <c r="R1827" t="n">
        <v>0.0341</v>
      </c>
      <c r="S1827">
        <f>IMAGE("https://mitra.stanford.edu/kundaje/oak/projects/neuro-variants/variant_position/credible/roussos_2024/variant_figures/roussos_2024.childhood.GLU/rs62064660_count_position.png",4,220,900)</f>
        <v/>
      </c>
      <c r="T1827">
        <f>IMAGE("https://mitra.stanford.edu/kundaje/oak/projects/neuro-variants/variant_position/credible/roussos_2024/variant_figures/roussos_2024.childhood.GLU/rs62064660_profile_position.png",4,220,900)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0.01657793214</v>
      </c>
      <c r="G1828" t="n">
        <v>0.4343103097658941</v>
      </c>
      <c r="H1828" t="n">
        <v>0.0119548838455297</v>
      </c>
      <c r="I1828" t="n">
        <v>0.4588743670604075</v>
      </c>
      <c r="J1828" t="n">
        <v>0.2067808833074062</v>
      </c>
      <c r="K1828" t="n">
        <v>0.1446389201265395</v>
      </c>
      <c r="L1828" t="b">
        <v>0</v>
      </c>
      <c r="M1828" t="b">
        <v>0</v>
      </c>
      <c r="N1828" t="inlineStr">
        <is>
          <t>alt</t>
        </is>
      </c>
      <c r="O1828" t="n">
        <v>-70</v>
      </c>
      <c r="P1828" t="n">
        <v>0.004112</v>
      </c>
      <c r="Q1828" t="n">
        <v>0</v>
      </c>
      <c r="R1828" t="n">
        <v>0</v>
      </c>
      <c r="S1828">
        <f>IMAGE("https://mitra.stanford.edu/kundaje/oak/projects/neuro-variants/variant_position/credible/roussos_2024/variant_figures/roussos_2024.childhood.GLU/rs62064665_count_position.png",4,220,900)</f>
        <v/>
      </c>
      <c r="T1828">
        <f>IMAGE("https://mitra.stanford.edu/kundaje/oak/projects/neuro-variants/variant_position/credible/roussos_2024/variant_figures/roussos_2024.childhood.GLU/rs62064665_profile_position.png",4,220,900)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0.2345486948</v>
      </c>
      <c r="G1829" t="n">
        <v>0.0067549987315258</v>
      </c>
      <c r="H1829" t="n">
        <v>0.0461713924788326</v>
      </c>
      <c r="I1829" t="n">
        <v>0.0053561121864985</v>
      </c>
      <c r="J1829" t="n">
        <v>0.0988482182410087</v>
      </c>
      <c r="K1829" t="n">
        <v>0.2516527543541884</v>
      </c>
      <c r="L1829" t="b">
        <v>1</v>
      </c>
      <c r="M1829" t="b">
        <v>1</v>
      </c>
      <c r="N1829" t="inlineStr">
        <is>
          <t>alt</t>
        </is>
      </c>
      <c r="O1829" t="n">
        <v>-5</v>
      </c>
      <c r="P1829" t="n">
        <v>0.0004196</v>
      </c>
      <c r="Q1829" t="n">
        <v>95</v>
      </c>
      <c r="R1829" t="n">
        <v>0.2007</v>
      </c>
      <c r="S1829">
        <f>IMAGE("https://mitra.stanford.edu/kundaje/oak/projects/neuro-variants/variant_position/credible/roussos_2024/variant_figures/roussos_2024.childhood.GLU/rs17573593_count_position.png",4,220,900)</f>
        <v/>
      </c>
      <c r="T1829">
        <f>IMAGE("https://mitra.stanford.edu/kundaje/oak/projects/neuro-variants/variant_position/credible/roussos_2024/variant_figures/roussos_2024.childhood.GLU/rs17573593_profile_position.png",4,220,900)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-0.0403998846</v>
      </c>
      <c r="G1830" t="n">
        <v>0.2451959940206119</v>
      </c>
      <c r="H1830" t="n">
        <v>0.0110801500720694</v>
      </c>
      <c r="I1830" t="n">
        <v>0.53591214884937</v>
      </c>
      <c r="J1830" t="n">
        <v>0.12723788723253</v>
      </c>
      <c r="K1830" t="n">
        <v>0.2127910264235063</v>
      </c>
      <c r="L1830" t="b">
        <v>0</v>
      </c>
      <c r="M1830" t="b">
        <v>0</v>
      </c>
      <c r="N1830" t="inlineStr">
        <is>
          <t>ref</t>
        </is>
      </c>
      <c r="O1830" t="n">
        <v>-55</v>
      </c>
      <c r="P1830" t="n">
        <v>0.004143</v>
      </c>
      <c r="Q1830" t="n">
        <v>-100</v>
      </c>
      <c r="R1830" t="n">
        <v>0.2314</v>
      </c>
      <c r="S1830">
        <f>IMAGE("https://mitra.stanford.edu/kundaje/oak/projects/neuro-variants/variant_position/credible/roussos_2024/variant_figures/roussos_2024.childhood.GLU/rs17652337_count_position.png",4,220,900)</f>
        <v/>
      </c>
      <c r="T1830">
        <f>IMAGE("https://mitra.stanford.edu/kundaje/oak/projects/neuro-variants/variant_position/credible/roussos_2024/variant_figures/roussos_2024.childhood.GLU/rs17652337_profile_position.png",4,220,900)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0.0001793426</v>
      </c>
      <c r="G1831" t="n">
        <v>0.7942113185666102</v>
      </c>
      <c r="H1831" t="n">
        <v>0.0280541695676385</v>
      </c>
      <c r="I1831" t="n">
        <v>0.0280773059781358</v>
      </c>
      <c r="J1831" t="n">
        <v>0.057770406008221</v>
      </c>
      <c r="K1831" t="n">
        <v>0.330610453044096</v>
      </c>
      <c r="L1831" t="b">
        <v>0</v>
      </c>
      <c r="M1831" t="b">
        <v>0</v>
      </c>
      <c r="N1831" t="inlineStr">
        <is>
          <t>alt</t>
        </is>
      </c>
      <c r="O1831" t="n">
        <v>-100</v>
      </c>
      <c r="P1831" t="n">
        <v>0.1137</v>
      </c>
      <c r="Q1831" t="n">
        <v>95</v>
      </c>
      <c r="R1831" t="n">
        <v>0.1076</v>
      </c>
      <c r="S1831">
        <f>IMAGE("https://mitra.stanford.edu/kundaje/oak/projects/neuro-variants/variant_position/credible/roussos_2024/variant_figures/roussos_2024.childhood.GLU/rs74829364_count_position.png",4,220,900)</f>
        <v/>
      </c>
      <c r="T1831">
        <f>IMAGE("https://mitra.stanford.edu/kundaje/oak/projects/neuro-variants/variant_position/credible/roussos_2024/variant_figures/roussos_2024.childhood.GLU/rs74829364_profile_position.png",4,220,900)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0.03349476716</v>
      </c>
      <c r="G1832" t="n">
        <v>0.3260568145143627</v>
      </c>
      <c r="H1832" t="n">
        <v>0.0117027025851763</v>
      </c>
      <c r="I1832" t="n">
        <v>0.4786036452176477</v>
      </c>
      <c r="J1832" t="n">
        <v>0.2413889375379892</v>
      </c>
      <c r="K1832" t="n">
        <v>0.1247067991353713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0.03595</v>
      </c>
      <c r="Q1832" t="n">
        <v>-100</v>
      </c>
      <c r="R1832" t="n">
        <v>0.06067</v>
      </c>
      <c r="S1832">
        <f>IMAGE("https://mitra.stanford.edu/kundaje/oak/projects/neuro-variants/variant_position/credible/roussos_2024/variant_figures/roussos_2024.childhood.GLU/rs62064672_count_position.png",4,220,900)</f>
        <v/>
      </c>
      <c r="T1832">
        <f>IMAGE("https://mitra.stanford.edu/kundaje/oak/projects/neuro-variants/variant_position/credible/roussos_2024/variant_figures/roussos_2024.childhood.GLU/rs62064672_profile_position.png",4,220,900)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-0.0071976947</v>
      </c>
      <c r="G1833" t="n">
        <v>0.6116206568048346</v>
      </c>
      <c r="H1833" t="n">
        <v>0.0165274278197208</v>
      </c>
      <c r="I1833" t="n">
        <v>0.1862832828486759</v>
      </c>
      <c r="J1833" t="n">
        <v>0.4653352838760855</v>
      </c>
      <c r="K1833" t="n">
        <v>0.0493148101205617</v>
      </c>
      <c r="L1833" t="b">
        <v>0</v>
      </c>
      <c r="M1833" t="b">
        <v>0</v>
      </c>
      <c r="N1833" t="inlineStr">
        <is>
          <t>ref</t>
        </is>
      </c>
      <c r="O1833" t="n">
        <v>-100</v>
      </c>
      <c r="P1833" t="n">
        <v>0.002808</v>
      </c>
      <c r="Q1833" t="n">
        <v>45</v>
      </c>
      <c r="R1833" t="n">
        <v>0.0649</v>
      </c>
      <c r="S1833">
        <f>IMAGE("https://mitra.stanford.edu/kundaje/oak/projects/neuro-variants/variant_position/credible/roussos_2024/variant_figures/roussos_2024.childhood.GLU/rs62064674_count_position.png",4,220,900)</f>
        <v/>
      </c>
      <c r="T1833">
        <f>IMAGE("https://mitra.stanford.edu/kundaje/oak/projects/neuro-variants/variant_position/credible/roussos_2024/variant_figures/roussos_2024.childhood.GLU/rs62064674_profile_position.png",4,220,900)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0.0484349682</v>
      </c>
      <c r="G1834" t="n">
        <v>0.1945762554788659</v>
      </c>
      <c r="H1834" t="n">
        <v>0.0116069403128985</v>
      </c>
      <c r="I1834" t="n">
        <v>0.4946094646268072</v>
      </c>
      <c r="J1834" t="n">
        <v>0.4513202221146218</v>
      </c>
      <c r="K1834" t="n">
        <v>0.0520102347301606</v>
      </c>
      <c r="L1834" t="b">
        <v>0</v>
      </c>
      <c r="M1834" t="b">
        <v>0</v>
      </c>
      <c r="N1834" t="inlineStr">
        <is>
          <t>alt</t>
        </is>
      </c>
      <c r="O1834" t="n">
        <v>85</v>
      </c>
      <c r="P1834" t="n">
        <v>0.002354</v>
      </c>
      <c r="Q1834" t="n">
        <v>100</v>
      </c>
      <c r="R1834" t="n">
        <v>0.0818</v>
      </c>
      <c r="S1834">
        <f>IMAGE("https://mitra.stanford.edu/kundaje/oak/projects/neuro-variants/variant_position/credible/roussos_2024/variant_figures/roussos_2024.childhood.GLU/rs76723223_count_position.png",4,220,900)</f>
        <v/>
      </c>
      <c r="T1834">
        <f>IMAGE("https://mitra.stanford.edu/kundaje/oak/projects/neuro-variants/variant_position/credible/roussos_2024/variant_figures/roussos_2024.childhood.GLU/rs76723223_profile_position.png",4,220,900)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-0.084627201</v>
      </c>
      <c r="G1835" t="n">
        <v>0.07054579971461319</v>
      </c>
      <c r="H1835" t="n">
        <v>0.0148302078846695</v>
      </c>
      <c r="I1835" t="n">
        <v>0.2591891625835572</v>
      </c>
      <c r="J1835" t="n">
        <v>0.50665313649335</v>
      </c>
      <c r="K1835" t="n">
        <v>0.040861953944533</v>
      </c>
      <c r="L1835" t="b">
        <v>0</v>
      </c>
      <c r="M1835" t="b">
        <v>0</v>
      </c>
      <c r="N1835" t="inlineStr">
        <is>
          <t>ref</t>
        </is>
      </c>
      <c r="O1835" t="n">
        <v>100</v>
      </c>
      <c r="P1835" t="n">
        <v>0.007362</v>
      </c>
      <c r="Q1835" t="n">
        <v>100</v>
      </c>
      <c r="R1835" t="n">
        <v>0.1694</v>
      </c>
      <c r="S1835">
        <f>IMAGE("https://mitra.stanford.edu/kundaje/oak/projects/neuro-variants/variant_position/credible/roussos_2024/variant_figures/roussos_2024.childhood.GLU/rs733966_count_position.png",4,220,900)</f>
        <v/>
      </c>
      <c r="T1835">
        <f>IMAGE("https://mitra.stanford.edu/kundaje/oak/projects/neuro-variants/variant_position/credible/roussos_2024/variant_figures/roussos_2024.childhood.GLU/rs733966_profile_position.png",4,220,900)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-0.0236473076</v>
      </c>
      <c r="G1836" t="n">
        <v>0.4118319867483904</v>
      </c>
      <c r="H1836" t="n">
        <v>0.0088995861505561</v>
      </c>
      <c r="I1836" t="n">
        <v>0.7617708489272315</v>
      </c>
      <c r="J1836" t="n">
        <v>0.5194103042228564</v>
      </c>
      <c r="K1836" t="n">
        <v>0.0386250003303519</v>
      </c>
      <c r="L1836" t="b">
        <v>0</v>
      </c>
      <c r="M1836" t="b">
        <v>0</v>
      </c>
      <c r="N1836" t="inlineStr">
        <is>
          <t>ref</t>
        </is>
      </c>
      <c r="O1836" t="n">
        <v>35</v>
      </c>
      <c r="P1836" t="n">
        <v>0.002045</v>
      </c>
      <c r="Q1836" t="n">
        <v>-45</v>
      </c>
      <c r="R1836" t="n">
        <v>0.0727</v>
      </c>
      <c r="S1836">
        <f>IMAGE("https://mitra.stanford.edu/kundaje/oak/projects/neuro-variants/variant_position/credible/roussos_2024/variant_figures/roussos_2024.childhood.GLU/rs733969_count_position.png",4,220,900)</f>
        <v/>
      </c>
      <c r="T1836">
        <f>IMAGE("https://mitra.stanford.edu/kundaje/oak/projects/neuro-variants/variant_position/credible/roussos_2024/variant_figures/roussos_2024.childhood.GLU/rs733969_profile_position.png",4,220,900)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0.07035718819999991</v>
      </c>
      <c r="G1837" t="n">
        <v>0.0939711715640545</v>
      </c>
      <c r="H1837" t="n">
        <v>0.0169210270369028</v>
      </c>
      <c r="I1837" t="n">
        <v>0.171402727213807</v>
      </c>
      <c r="J1837" t="n">
        <v>0.5002760979529602</v>
      </c>
      <c r="K1837" t="n">
        <v>0.0422207139155499</v>
      </c>
      <c r="L1837" t="b">
        <v>0</v>
      </c>
      <c r="M1837" t="b">
        <v>0</v>
      </c>
      <c r="N1837" t="inlineStr">
        <is>
          <t>alt</t>
        </is>
      </c>
      <c r="O1837" t="n">
        <v>-95</v>
      </c>
      <c r="P1837" t="n">
        <v>0.004215</v>
      </c>
      <c r="Q1837" t="n">
        <v>-90</v>
      </c>
      <c r="R1837" t="n">
        <v>0.11316</v>
      </c>
      <c r="S1837">
        <f>IMAGE("https://mitra.stanford.edu/kundaje/oak/projects/neuro-variants/variant_position/credible/roussos_2024/variant_figures/roussos_2024.childhood.GLU/rs4306559_count_position.png",4,220,900)</f>
        <v/>
      </c>
      <c r="T1837">
        <f>IMAGE("https://mitra.stanford.edu/kundaje/oak/projects/neuro-variants/variant_position/credible/roussos_2024/variant_figures/roussos_2024.childhood.GLU/rs4306559_profile_position.png",4,220,900)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-0.017535063834</v>
      </c>
      <c r="G1838" t="n">
        <v>0.5082954881777517</v>
      </c>
      <c r="H1838" t="n">
        <v>0.0189853051701364</v>
      </c>
      <c r="I1838" t="n">
        <v>0.1174667214543601</v>
      </c>
      <c r="J1838" t="n">
        <v>0.2048265630955937</v>
      </c>
      <c r="K1838" t="n">
        <v>0.1445569946668417</v>
      </c>
      <c r="L1838" t="b">
        <v>0</v>
      </c>
      <c r="M1838" t="b">
        <v>0</v>
      </c>
      <c r="N1838" t="inlineStr">
        <is>
          <t>ref</t>
        </is>
      </c>
      <c r="O1838" t="n">
        <v>10</v>
      </c>
      <c r="P1838" t="n">
        <v>0.0001068</v>
      </c>
      <c r="Q1838" t="n">
        <v>-95</v>
      </c>
      <c r="R1838" t="n">
        <v>0.03387</v>
      </c>
      <c r="S1838">
        <f>IMAGE("https://mitra.stanford.edu/kundaje/oak/projects/neuro-variants/variant_position/credible/roussos_2024/variant_figures/roussos_2024.childhood.GLU/rs62062270_count_position.png",4,220,900)</f>
        <v/>
      </c>
      <c r="T1838">
        <f>IMAGE("https://mitra.stanford.edu/kundaje/oak/projects/neuro-variants/variant_position/credible/roussos_2024/variant_figures/roussos_2024.childhood.GLU/rs62062270_profile_position.png",4,220,900)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0.0576209211999999</v>
      </c>
      <c r="G1839" t="n">
        <v>0.134087697504365</v>
      </c>
      <c r="H1839" t="n">
        <v>0.0104359319275311</v>
      </c>
      <c r="I1839" t="n">
        <v>0.6123726278414927</v>
      </c>
      <c r="J1839" t="n">
        <v>0.0479040250548589</v>
      </c>
      <c r="K1839" t="n">
        <v>0.3668183326040004</v>
      </c>
      <c r="L1839" t="b">
        <v>0</v>
      </c>
      <c r="M1839" t="b">
        <v>0</v>
      </c>
      <c r="N1839" t="inlineStr">
        <is>
          <t>alt</t>
        </is>
      </c>
      <c r="O1839" t="n">
        <v>60</v>
      </c>
      <c r="P1839" t="n">
        <v>0.003717</v>
      </c>
      <c r="Q1839" t="n">
        <v>-95</v>
      </c>
      <c r="R1839" t="n">
        <v>0.0726</v>
      </c>
      <c r="S1839">
        <f>IMAGE("https://mitra.stanford.edu/kundaje/oak/projects/neuro-variants/variant_position/credible/roussos_2024/variant_figures/roussos_2024.childhood.GLU/rs62062275_count_position.png",4,220,900)</f>
        <v/>
      </c>
      <c r="T1839">
        <f>IMAGE("https://mitra.stanford.edu/kundaje/oak/projects/neuro-variants/variant_position/credible/roussos_2024/variant_figures/roussos_2024.childhood.GLU/rs62062275_profile_position.png",4,220,900)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0.0169559387999999</v>
      </c>
      <c r="G1840" t="n">
        <v>0.5003551300149319</v>
      </c>
      <c r="H1840" t="n">
        <v>0.009793024937327499</v>
      </c>
      <c r="I1840" t="n">
        <v>0.6702790151189859</v>
      </c>
      <c r="J1840" t="n">
        <v>0.4814622889344473</v>
      </c>
      <c r="K1840" t="n">
        <v>0.0453346988269506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0.0736</v>
      </c>
      <c r="Q1840" t="n">
        <v>-75</v>
      </c>
      <c r="R1840" t="n">
        <v>0.08923</v>
      </c>
      <c r="S1840">
        <f>IMAGE("https://mitra.stanford.edu/kundaje/oak/projects/neuro-variants/variant_position/credible/roussos_2024/variant_figures/roussos_2024.childhood.GLU/rs9468_count_position.png",4,220,900)</f>
        <v/>
      </c>
      <c r="T1840">
        <f>IMAGE("https://mitra.stanford.edu/kundaje/oak/projects/neuro-variants/variant_position/credible/roussos_2024/variant_figures/roussos_2024.childhood.GLU/rs9468_profile_position.png",4,220,900)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0.0751586528</v>
      </c>
      <c r="G1841" t="n">
        <v>0.0883372666793163</v>
      </c>
      <c r="H1841" t="n">
        <v>0.0138104436294563</v>
      </c>
      <c r="I1841" t="n">
        <v>0.3134968361949677</v>
      </c>
      <c r="J1841" t="n">
        <v>0.4360555080511399</v>
      </c>
      <c r="K1841" t="n">
        <v>0.0555932937909987</v>
      </c>
      <c r="L1841" t="b">
        <v>0</v>
      </c>
      <c r="M1841" t="b">
        <v>0</v>
      </c>
      <c r="N1841" t="inlineStr">
        <is>
          <t>alt</t>
        </is>
      </c>
      <c r="O1841" t="n">
        <v>-55</v>
      </c>
      <c r="P1841" t="n">
        <v>0.0008965000000000001</v>
      </c>
      <c r="Q1841" t="n">
        <v>65</v>
      </c>
      <c r="R1841" t="n">
        <v>0.02515</v>
      </c>
      <c r="S1841">
        <f>IMAGE("https://mitra.stanford.edu/kundaje/oak/projects/neuro-variants/variant_position/credible/roussos_2024/variant_figures/roussos_2024.childhood.GLU/rs1052590_count_position.png",4,220,900)</f>
        <v/>
      </c>
      <c r="T1841">
        <f>IMAGE("https://mitra.stanford.edu/kundaje/oak/projects/neuro-variants/variant_position/credible/roussos_2024/variant_figures/roussos_2024.childhood.GLU/rs1052590_profile_position.png",4,220,900)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0.0148584094</v>
      </c>
      <c r="G1842" t="n">
        <v>0.5212473737568838</v>
      </c>
      <c r="H1842" t="n">
        <v>0.014184366268105</v>
      </c>
      <c r="I1842" t="n">
        <v>0.2998421856600259</v>
      </c>
      <c r="J1842" t="n">
        <v>0.3655104206372918</v>
      </c>
      <c r="K1842" t="n">
        <v>0.0742564330144334</v>
      </c>
      <c r="L1842" t="b">
        <v>0</v>
      </c>
      <c r="M1842" t="b">
        <v>0</v>
      </c>
      <c r="N1842" t="inlineStr">
        <is>
          <t>alt</t>
        </is>
      </c>
      <c r="O1842" t="n">
        <v>-95</v>
      </c>
      <c r="P1842" t="n">
        <v>0.1238</v>
      </c>
      <c r="Q1842" t="n">
        <v>50</v>
      </c>
      <c r="R1842" t="n">
        <v>0.04645</v>
      </c>
      <c r="S1842">
        <f>IMAGE("https://mitra.stanford.edu/kundaje/oak/projects/neuro-variants/variant_position/credible/roussos_2024/variant_figures/roussos_2024.childhood.GLU/rs17652748_count_position.png",4,220,900)</f>
        <v/>
      </c>
      <c r="T1842">
        <f>IMAGE("https://mitra.stanford.edu/kundaje/oak/projects/neuro-variants/variant_position/credible/roussos_2024/variant_figures/roussos_2024.childhood.GLU/rs17652748_profile_position.png",4,220,900)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0.0525061932</v>
      </c>
      <c r="G1843" t="n">
        <v>0.162173374504408</v>
      </c>
      <c r="H1843" t="n">
        <v>0.009733573063134601</v>
      </c>
      <c r="I1843" t="n">
        <v>0.6885539226798565</v>
      </c>
      <c r="J1843" t="n">
        <v>0.3829900996219106</v>
      </c>
      <c r="K1843" t="n">
        <v>0.0690829524928802</v>
      </c>
      <c r="L1843" t="b">
        <v>0</v>
      </c>
      <c r="M1843" t="b">
        <v>0</v>
      </c>
      <c r="N1843" t="inlineStr">
        <is>
          <t>alt</t>
        </is>
      </c>
      <c r="O1843" t="n">
        <v>-65</v>
      </c>
      <c r="P1843" t="n">
        <v>0.007015</v>
      </c>
      <c r="Q1843" t="n">
        <v>85</v>
      </c>
      <c r="R1843" t="n">
        <v>0.0648</v>
      </c>
      <c r="S1843">
        <f>IMAGE("https://mitra.stanford.edu/kundaje/oak/projects/neuro-variants/variant_position/credible/roussos_2024/variant_figures/roussos_2024.childhood.GLU/rs75010486_count_position.png",4,220,900)</f>
        <v/>
      </c>
      <c r="T1843">
        <f>IMAGE("https://mitra.stanford.edu/kundaje/oak/projects/neuro-variants/variant_position/credible/roussos_2024/variant_figures/roussos_2024.childhood.GLU/rs75010486_profile_position.png",4,220,900)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0.08252854336</v>
      </c>
      <c r="G1844" t="n">
        <v>0.08893367702174459</v>
      </c>
      <c r="H1844" t="n">
        <v>0.0152283729711523</v>
      </c>
      <c r="I1844" t="n">
        <v>0.2586948607909711</v>
      </c>
      <c r="J1844" t="n">
        <v>0.3398219786333151</v>
      </c>
      <c r="K1844" t="n">
        <v>0.0824767069189038</v>
      </c>
      <c r="L1844" t="b">
        <v>0</v>
      </c>
      <c r="M1844" t="b">
        <v>0</v>
      </c>
      <c r="N1844" t="inlineStr">
        <is>
          <t>alt</t>
        </is>
      </c>
      <c r="O1844" t="n">
        <v>100</v>
      </c>
      <c r="P1844" t="n">
        <v>0.0324</v>
      </c>
      <c r="Q1844" t="n">
        <v>55</v>
      </c>
      <c r="R1844" t="n">
        <v>0.1443</v>
      </c>
      <c r="S1844">
        <f>IMAGE("https://mitra.stanford.edu/kundaje/oak/projects/neuro-variants/variant_position/credible/roussos_2024/variant_figures/roussos_2024.childhood.GLU/rs79772576_count_position.png",4,220,900)</f>
        <v/>
      </c>
      <c r="T1844">
        <f>IMAGE("https://mitra.stanford.edu/kundaje/oak/projects/neuro-variants/variant_position/credible/roussos_2024/variant_figures/roussos_2024.childhood.GLU/rs79772576_profile_position.png",4,220,900)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0.1232610456</v>
      </c>
      <c r="G1845" t="n">
        <v>0.0266964233629557</v>
      </c>
      <c r="H1845" t="n">
        <v>0.0176973159567128</v>
      </c>
      <c r="I1845" t="n">
        <v>0.1479375145586784</v>
      </c>
      <c r="J1845" t="n">
        <v>0.4891250373453387</v>
      </c>
      <c r="K1845" t="n">
        <v>0.0444859488704068</v>
      </c>
      <c r="L1845" t="b">
        <v>0</v>
      </c>
      <c r="M1845" t="b">
        <v>0</v>
      </c>
      <c r="N1845" t="inlineStr">
        <is>
          <t>alt</t>
        </is>
      </c>
      <c r="O1845" t="n">
        <v>-100</v>
      </c>
      <c r="P1845" t="n">
        <v>0.1039</v>
      </c>
      <c r="Q1845" t="n">
        <v>40</v>
      </c>
      <c r="R1845" t="n">
        <v>0.06104</v>
      </c>
      <c r="S1845">
        <f>IMAGE("https://mitra.stanford.edu/kundaje/oak/projects/neuro-variants/variant_position/credible/roussos_2024/variant_figures/roussos_2024.childhood.GLU/rs34579536_count_position.png",4,220,900)</f>
        <v/>
      </c>
      <c r="T1845">
        <f>IMAGE("https://mitra.stanford.edu/kundaje/oak/projects/neuro-variants/variant_position/credible/roussos_2024/variant_figures/roussos_2024.childhood.GLU/rs34579536_profile_position.png",4,220,900)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-0.0456582248</v>
      </c>
      <c r="G1846" t="n">
        <v>0.2006204377680882</v>
      </c>
      <c r="H1846" t="n">
        <v>0.0150610631730548</v>
      </c>
      <c r="I1846" t="n">
        <v>0.2559266711969216</v>
      </c>
      <c r="J1846" t="n">
        <v>0.1587099632212801</v>
      </c>
      <c r="K1846" t="n">
        <v>0.1789147495256181</v>
      </c>
      <c r="L1846" t="b">
        <v>0</v>
      </c>
      <c r="M1846" t="b">
        <v>0</v>
      </c>
      <c r="N1846" t="inlineStr">
        <is>
          <t>ref</t>
        </is>
      </c>
      <c r="O1846" t="n">
        <v>50</v>
      </c>
      <c r="P1846" t="n">
        <v>0.01855</v>
      </c>
      <c r="Q1846" t="n">
        <v>30</v>
      </c>
      <c r="R1846" t="n">
        <v>0.05566</v>
      </c>
      <c r="S1846">
        <f>IMAGE("https://mitra.stanford.edu/kundaje/oak/projects/neuro-variants/variant_position/credible/roussos_2024/variant_figures/roussos_2024.childhood.GLU/rs62062321_count_position.png",4,220,900)</f>
        <v/>
      </c>
      <c r="T1846">
        <f>IMAGE("https://mitra.stanford.edu/kundaje/oak/projects/neuro-variants/variant_position/credible/roussos_2024/variant_figures/roussos_2024.childhood.GLU/rs62062321_profile_position.png",4,220,900)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-0.01119816646</v>
      </c>
      <c r="G1847" t="n">
        <v>0.6409339035490417</v>
      </c>
      <c r="H1847" t="n">
        <v>0.0251060878144343</v>
      </c>
      <c r="I1847" t="n">
        <v>0.0428094509167726</v>
      </c>
      <c r="J1847" t="n">
        <v>0.1888623322035294</v>
      </c>
      <c r="K1847" t="n">
        <v>0.15528784217347</v>
      </c>
      <c r="L1847" t="b">
        <v>0</v>
      </c>
      <c r="M1847" t="b">
        <v>0</v>
      </c>
      <c r="N1847" t="inlineStr">
        <is>
          <t>ref</t>
        </is>
      </c>
      <c r="O1847" t="n">
        <v>85</v>
      </c>
      <c r="P1847" t="n">
        <v>0.02467</v>
      </c>
      <c r="Q1847" t="n">
        <v>95</v>
      </c>
      <c r="R1847" t="n">
        <v>0.602</v>
      </c>
      <c r="S1847">
        <f>IMAGE("https://mitra.stanford.edu/kundaje/oak/projects/neuro-variants/variant_position/credible/roussos_2024/variant_figures/roussos_2024.childhood.GLU/rs62062322_count_position.png",4,220,900)</f>
        <v/>
      </c>
      <c r="T1847">
        <f>IMAGE("https://mitra.stanford.edu/kundaje/oak/projects/neuro-variants/variant_position/credible/roussos_2024/variant_figures/roussos_2024.childhood.GLU/rs62062322_profile_position.png",4,220,900)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-0.0709353425999999</v>
      </c>
      <c r="G1848" t="n">
        <v>0.09991746461342881</v>
      </c>
      <c r="H1848" t="n">
        <v>0.0128658258616164</v>
      </c>
      <c r="I1848" t="n">
        <v>0.3791966235054216</v>
      </c>
      <c r="J1848" t="n">
        <v>0.2356063337694581</v>
      </c>
      <c r="K1848" t="n">
        <v>0.1261712505326377</v>
      </c>
      <c r="L1848" t="b">
        <v>0</v>
      </c>
      <c r="M1848" t="b">
        <v>0</v>
      </c>
      <c r="N1848" t="inlineStr">
        <is>
          <t>ref</t>
        </is>
      </c>
      <c r="O1848" t="n">
        <v>-95</v>
      </c>
      <c r="P1848" t="n">
        <v>0.0228</v>
      </c>
      <c r="Q1848" t="n">
        <v>-45</v>
      </c>
      <c r="R1848" t="n">
        <v>0.153</v>
      </c>
      <c r="S1848">
        <f>IMAGE("https://mitra.stanford.edu/kundaje/oak/projects/neuro-variants/variant_position/credible/roussos_2024/variant_figures/roussos_2024.childhood.GLU/rs8077487_count_position.png",4,220,900)</f>
        <v/>
      </c>
      <c r="T1848">
        <f>IMAGE("https://mitra.stanford.edu/kundaje/oak/projects/neuro-variants/variant_position/credible/roussos_2024/variant_figures/roussos_2024.childhood.GLU/rs8077487_profile_position.png",4,220,900)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-0.0235640452</v>
      </c>
      <c r="G1849" t="n">
        <v>0.4121805196374416</v>
      </c>
      <c r="H1849" t="n">
        <v>0.0350604350221197</v>
      </c>
      <c r="I1849" t="n">
        <v>0.0113014707616144</v>
      </c>
      <c r="J1849" t="n">
        <v>0.2574273439995055</v>
      </c>
      <c r="K1849" t="n">
        <v>0.1160346924298017</v>
      </c>
      <c r="L1849" t="b">
        <v>1</v>
      </c>
      <c r="M1849" t="b">
        <v>0</v>
      </c>
      <c r="N1849" t="inlineStr">
        <is>
          <t>ref</t>
        </is>
      </c>
      <c r="O1849" t="n">
        <v>100</v>
      </c>
      <c r="P1849" t="n">
        <v>0.0274</v>
      </c>
      <c r="Q1849" t="n">
        <v>65</v>
      </c>
      <c r="R1849" t="n">
        <v>0.2225</v>
      </c>
      <c r="S1849">
        <f>IMAGE("https://mitra.stanford.edu/kundaje/oak/projects/neuro-variants/variant_position/credible/roussos_2024/variant_figures/roussos_2024.childhood.GLU/rs7221390_count_position.png",4,220,900)</f>
        <v/>
      </c>
      <c r="T1849">
        <f>IMAGE("https://mitra.stanford.edu/kundaje/oak/projects/neuro-variants/variant_position/credible/roussos_2024/variant_figures/roussos_2024.childhood.GLU/rs7221390_profile_position.png",4,220,900)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0.0230187124999999</v>
      </c>
      <c r="G1850" t="n">
        <v>0.3504452300374557</v>
      </c>
      <c r="H1850" t="n">
        <v>0.0132011538930551</v>
      </c>
      <c r="I1850" t="n">
        <v>0.3580567875436918</v>
      </c>
      <c r="J1850" t="n">
        <v>0.0504033296588953</v>
      </c>
      <c r="K1850" t="n">
        <v>0.3494089222163381</v>
      </c>
      <c r="L1850" t="b">
        <v>0</v>
      </c>
      <c r="M1850" t="b">
        <v>0</v>
      </c>
      <c r="N1850" t="inlineStr">
        <is>
          <t>alt</t>
        </is>
      </c>
      <c r="O1850" t="n">
        <v>-30</v>
      </c>
      <c r="P1850" t="n">
        <v>0.00297</v>
      </c>
      <c r="Q1850" t="n">
        <v>40</v>
      </c>
      <c r="R1850" t="n">
        <v>0.073</v>
      </c>
      <c r="S1850">
        <f>IMAGE("https://mitra.stanford.edu/kundaje/oak/projects/neuro-variants/variant_position/credible/roussos_2024/variant_figures/roussos_2024.childhood.GLU/rs62062137_count_position.png",4,220,900)</f>
        <v/>
      </c>
      <c r="T1850">
        <f>IMAGE("https://mitra.stanford.edu/kundaje/oak/projects/neuro-variants/variant_position/credible/roussos_2024/variant_figures/roussos_2024.childhood.GLU/rs62062137_profile_position.png",4,220,900)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-0.0170889945999999</v>
      </c>
      <c r="G1851" t="n">
        <v>0.5106047871746048</v>
      </c>
      <c r="H1851" t="n">
        <v>0.0115693136938151</v>
      </c>
      <c r="I1851" t="n">
        <v>0.4894988543479332</v>
      </c>
      <c r="J1851" t="n">
        <v>0.0526780471220908</v>
      </c>
      <c r="K1851" t="n">
        <v>0.3456710857890414</v>
      </c>
      <c r="L1851" t="b">
        <v>0</v>
      </c>
      <c r="M1851" t="b">
        <v>0</v>
      </c>
      <c r="N1851" t="inlineStr">
        <is>
          <t>ref</t>
        </is>
      </c>
      <c r="O1851" t="n">
        <v>-90</v>
      </c>
      <c r="P1851" t="n">
        <v>0.00868</v>
      </c>
      <c r="Q1851" t="n">
        <v>55</v>
      </c>
      <c r="R1851" t="n">
        <v>0.07904</v>
      </c>
      <c r="S1851">
        <f>IMAGE("https://mitra.stanford.edu/kundaje/oak/projects/neuro-variants/variant_position/credible/roussos_2024/variant_figures/roussos_2024.childhood.GLU/rs55893711_count_position.png",4,220,900)</f>
        <v/>
      </c>
      <c r="T1851">
        <f>IMAGE("https://mitra.stanford.edu/kundaje/oak/projects/neuro-variants/variant_position/credible/roussos_2024/variant_figures/roussos_2024.childhood.GLU/rs55893711_profile_position.png",4,220,900)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0.1388093492</v>
      </c>
      <c r="G1852" t="n">
        <v>0.0221556551766741</v>
      </c>
      <c r="H1852" t="n">
        <v>0.0141828329202462</v>
      </c>
      <c r="I1852" t="n">
        <v>0.2917506342045732</v>
      </c>
      <c r="J1852" t="n">
        <v>0.1228944955546168</v>
      </c>
      <c r="K1852" t="n">
        <v>0.2146588842068165</v>
      </c>
      <c r="L1852" t="b">
        <v>0</v>
      </c>
      <c r="M1852" t="b">
        <v>0</v>
      </c>
      <c r="N1852" t="inlineStr">
        <is>
          <t>alt</t>
        </is>
      </c>
      <c r="O1852" t="n">
        <v>-90</v>
      </c>
      <c r="P1852" t="n">
        <v>0.004147</v>
      </c>
      <c r="Q1852" t="n">
        <v>-80</v>
      </c>
      <c r="R1852" t="n">
        <v>0.1582</v>
      </c>
      <c r="S1852">
        <f>IMAGE("https://mitra.stanford.edu/kundaje/oak/projects/neuro-variants/variant_position/credible/roussos_2024/variant_figures/roussos_2024.childhood.GLU/rs62063670_count_position.png",4,220,900)</f>
        <v/>
      </c>
      <c r="T1852">
        <f>IMAGE("https://mitra.stanford.edu/kundaje/oak/projects/neuro-variants/variant_position/credible/roussos_2024/variant_figures/roussos_2024.childhood.GLU/rs62063670_profile_position.png",4,220,900)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0.09783735859999999</v>
      </c>
      <c r="G1853" t="n">
        <v>0.0567629457331941</v>
      </c>
      <c r="H1853" t="n">
        <v>0.0297796428784561</v>
      </c>
      <c r="I1853" t="n">
        <v>0.0226716794727598</v>
      </c>
      <c r="J1853" t="n">
        <v>0.0176249394747957</v>
      </c>
      <c r="K1853" t="n">
        <v>0.5159745900144243</v>
      </c>
      <c r="L1853" t="b">
        <v>0</v>
      </c>
      <c r="M1853" t="b">
        <v>0</v>
      </c>
      <c r="N1853" t="inlineStr">
        <is>
          <t>alt</t>
        </is>
      </c>
      <c r="O1853" t="n">
        <v>65</v>
      </c>
      <c r="P1853" t="n">
        <v>0.00608</v>
      </c>
      <c r="Q1853" t="n">
        <v>-45</v>
      </c>
      <c r="R1853" t="n">
        <v>0.0645</v>
      </c>
      <c r="S1853">
        <f>IMAGE("https://mitra.stanford.edu/kundaje/oak/projects/neuro-variants/variant_position/credible/roussos_2024/variant_figures/roussos_2024.childhood.GLU/rs79065019_count_position.png",4,220,900)</f>
        <v/>
      </c>
      <c r="T1853">
        <f>IMAGE("https://mitra.stanford.edu/kundaje/oak/projects/neuro-variants/variant_position/credible/roussos_2024/variant_figures/roussos_2024.childhood.GLU/rs79065019_profile_position.png",4,220,900)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0.008009341999999999</v>
      </c>
      <c r="G1854" t="n">
        <v>0.5413655777299097</v>
      </c>
      <c r="H1854" t="n">
        <v>0.0233876250339398</v>
      </c>
      <c r="I1854" t="n">
        <v>0.0555787560456965</v>
      </c>
      <c r="J1854" t="n">
        <v>0.0044680478432422</v>
      </c>
      <c r="K1854" t="n">
        <v>0.6882626080891873</v>
      </c>
      <c r="L1854" t="b">
        <v>0</v>
      </c>
      <c r="M1854" t="b">
        <v>0</v>
      </c>
      <c r="N1854" t="inlineStr">
        <is>
          <t>alt</t>
        </is>
      </c>
      <c r="O1854" t="n">
        <v>65</v>
      </c>
      <c r="P1854" t="n">
        <v>0.0626</v>
      </c>
      <c r="Q1854" t="n">
        <v>-100</v>
      </c>
      <c r="R1854" t="n">
        <v>0.0858</v>
      </c>
      <c r="S1854">
        <f>IMAGE("https://mitra.stanford.edu/kundaje/oak/projects/neuro-variants/variant_position/credible/roussos_2024/variant_figures/roussos_2024.childhood.GLU/rs111259120_count_position.png",4,220,900)</f>
        <v/>
      </c>
      <c r="T1854">
        <f>IMAGE("https://mitra.stanford.edu/kundaje/oak/projects/neuro-variants/variant_position/credible/roussos_2024/variant_figures/roussos_2024.childhood.GLU/rs111259120_profile_position.png",4,220,900)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0.0115097842185999</v>
      </c>
      <c r="G1855" t="n">
        <v>0.6218130345834147</v>
      </c>
      <c r="H1855" t="n">
        <v>0.0200897753733683</v>
      </c>
      <c r="I1855" t="n">
        <v>0.09775927953982259</v>
      </c>
      <c r="J1855" t="n">
        <v>0.1200387361307137</v>
      </c>
      <c r="K1855" t="n">
        <v>0.2174226619721692</v>
      </c>
      <c r="L1855" t="b">
        <v>0</v>
      </c>
      <c r="M1855" t="b">
        <v>0</v>
      </c>
      <c r="N1855" t="inlineStr">
        <is>
          <t>alt</t>
        </is>
      </c>
      <c r="O1855" t="n">
        <v>-45</v>
      </c>
      <c r="P1855" t="n">
        <v>0.06125</v>
      </c>
      <c r="Q1855" t="n">
        <v>90</v>
      </c>
      <c r="R1855" t="n">
        <v>0.021</v>
      </c>
      <c r="S1855">
        <f>IMAGE("https://mitra.stanford.edu/kundaje/oak/projects/neuro-variants/variant_position/credible/roussos_2024/variant_figures/roussos_2024.childhood.GLU/rs111372048_count_position.png",4,220,900)</f>
        <v/>
      </c>
      <c r="T1855">
        <f>IMAGE("https://mitra.stanford.edu/kundaje/oak/projects/neuro-variants/variant_position/credible/roussos_2024/variant_figures/roussos_2024.childhood.GLU/rs111372048_profile_position.png",4,220,900)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0.169319318</v>
      </c>
      <c r="G1856" t="n">
        <v>0.0121140348258412</v>
      </c>
      <c r="H1856" t="n">
        <v>0.0294292788199728</v>
      </c>
      <c r="I1856" t="n">
        <v>0.0233282756096632</v>
      </c>
      <c r="J1856" t="n">
        <v>0.1795471169398456</v>
      </c>
      <c r="K1856" t="n">
        <v>0.1619196324185766</v>
      </c>
      <c r="L1856" t="b">
        <v>1</v>
      </c>
      <c r="M1856" t="b">
        <v>0</v>
      </c>
      <c r="N1856" t="inlineStr">
        <is>
          <t>alt</t>
        </is>
      </c>
      <c r="O1856" t="n">
        <v>-100</v>
      </c>
      <c r="P1856" t="n">
        <v>0.0603</v>
      </c>
      <c r="Q1856" t="n">
        <v>-60</v>
      </c>
      <c r="R1856" t="n">
        <v>0.09326</v>
      </c>
      <c r="S1856">
        <f>IMAGE("https://mitra.stanford.edu/kundaje/oak/projects/neuro-variants/variant_position/credible/roussos_2024/variant_figures/roussos_2024.childhood.GLU/rs62060785_count_position.png",4,220,900)</f>
        <v/>
      </c>
      <c r="T1856">
        <f>IMAGE("https://mitra.stanford.edu/kundaje/oak/projects/neuro-variants/variant_position/credible/roussos_2024/variant_figures/roussos_2024.childhood.GLU/rs62060785_profile_position.png",4,220,900)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0.0045329388399999</v>
      </c>
      <c r="G1857" t="n">
        <v>0.6086607307994493</v>
      </c>
      <c r="H1857" t="n">
        <v>0.0149855856857316</v>
      </c>
      <c r="I1857" t="n">
        <v>0.2541161318182193</v>
      </c>
      <c r="J1857" t="n">
        <v>0.09239082283371269</v>
      </c>
      <c r="K1857" t="n">
        <v>0.2562281761454201</v>
      </c>
      <c r="L1857" t="b">
        <v>0</v>
      </c>
      <c r="M1857" t="b">
        <v>0</v>
      </c>
      <c r="N1857" t="inlineStr">
        <is>
          <t>alt</t>
        </is>
      </c>
      <c r="O1857" t="n">
        <v>-20</v>
      </c>
      <c r="P1857" t="n">
        <v>0.0004883</v>
      </c>
      <c r="Q1857" t="n">
        <v>-45</v>
      </c>
      <c r="R1857" t="n">
        <v>0.05054</v>
      </c>
      <c r="S1857">
        <f>IMAGE("https://mitra.stanford.edu/kundaje/oak/projects/neuro-variants/variant_position/credible/roussos_2024/variant_figures/roussos_2024.childhood.GLU/rs2838_count_position.png",4,220,900)</f>
        <v/>
      </c>
      <c r="T1857">
        <f>IMAGE("https://mitra.stanford.edu/kundaje/oak/projects/neuro-variants/variant_position/credible/roussos_2024/variant_figures/roussos_2024.childhood.GLU/rs2838_profile_position.png",4,220,900)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-0.031539963</v>
      </c>
      <c r="G1858" t="n">
        <v>0.3235835614249647</v>
      </c>
      <c r="H1858" t="n">
        <v>0.0084566628916533</v>
      </c>
      <c r="I1858" t="n">
        <v>0.8252468931549681</v>
      </c>
      <c r="J1858" t="n">
        <v>0.0271111706347161</v>
      </c>
      <c r="K1858" t="n">
        <v>0.4424802861414225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0.009719999999999999</v>
      </c>
      <c r="Q1858" t="n">
        <v>-20</v>
      </c>
      <c r="R1858" t="n">
        <v>0.04114</v>
      </c>
      <c r="S1858">
        <f>IMAGE("https://mitra.stanford.edu/kundaje/oak/projects/neuro-variants/variant_position/credible/roussos_2024/variant_figures/roussos_2024.childhood.GLU/rs76307183_count_position.png",4,220,900)</f>
        <v/>
      </c>
      <c r="T1858">
        <f>IMAGE("https://mitra.stanford.edu/kundaje/oak/projects/neuro-variants/variant_position/credible/roussos_2024/variant_figures/roussos_2024.childhood.GLU/rs76307183_profile_position.png",4,220,900)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0.1641404699999999</v>
      </c>
      <c r="G1859" t="n">
        <v>0.0135077840857611</v>
      </c>
      <c r="H1859" t="n">
        <v>0.0247644885200294</v>
      </c>
      <c r="I1859" t="n">
        <v>0.0483087620080094</v>
      </c>
      <c r="J1859" t="n">
        <v>0.0076586275459218</v>
      </c>
      <c r="K1859" t="n">
        <v>0.6228144542044142</v>
      </c>
      <c r="L1859" t="b">
        <v>1</v>
      </c>
      <c r="M1859" t="b">
        <v>0</v>
      </c>
      <c r="N1859" t="inlineStr">
        <is>
          <t>alt</t>
        </is>
      </c>
      <c r="O1859" t="n">
        <v>-100</v>
      </c>
      <c r="P1859" t="n">
        <v>0.00325</v>
      </c>
      <c r="Q1859" t="n">
        <v>-75</v>
      </c>
      <c r="R1859" t="n">
        <v>0.09283</v>
      </c>
      <c r="S1859">
        <f>IMAGE("https://mitra.stanford.edu/kundaje/oak/projects/neuro-variants/variant_position/credible/roussos_2024/variant_figures/roussos_2024.childhood.GLU/rs62060802_count_position.png",4,220,900)</f>
        <v/>
      </c>
      <c r="T1859">
        <f>IMAGE("https://mitra.stanford.edu/kundaje/oak/projects/neuro-variants/variant_position/credible/roussos_2024/variant_figures/roussos_2024.childhood.GLU/rs62060802_profile_position.png",4,220,900)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0.084818711</v>
      </c>
      <c r="G1860" t="n">
        <v>0.0613397581897861</v>
      </c>
      <c r="H1860" t="n">
        <v>0.0110491203039217</v>
      </c>
      <c r="I1860" t="n">
        <v>0.5492528175337319</v>
      </c>
      <c r="J1860" t="n">
        <v>0.0169120298350623</v>
      </c>
      <c r="K1860" t="n">
        <v>0.5133820808740621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0.02307</v>
      </c>
      <c r="Q1860" t="n">
        <v>-25</v>
      </c>
      <c r="R1860" t="n">
        <v>0.1068</v>
      </c>
      <c r="S1860">
        <f>IMAGE("https://mitra.stanford.edu/kundaje/oak/projects/neuro-variants/variant_position/credible/roussos_2024/variant_figures/roussos_2024.childhood.GLU/rs62060840_count_position.png",4,220,900)</f>
        <v/>
      </c>
      <c r="T1860">
        <f>IMAGE("https://mitra.stanford.edu/kundaje/oak/projects/neuro-variants/variant_position/credible/roussos_2024/variant_figures/roussos_2024.childhood.GLU/rs62060840_profile_position.png",4,220,900)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0.1003419028</v>
      </c>
      <c r="G1861" t="n">
        <v>0.0426813971429777</v>
      </c>
      <c r="H1861" t="n">
        <v>0.0122047910320687</v>
      </c>
      <c r="I1861" t="n">
        <v>0.433695149792937</v>
      </c>
      <c r="J1861" t="n">
        <v>0.0725704925463854</v>
      </c>
      <c r="K1861" t="n">
        <v>0.2946238989680158</v>
      </c>
      <c r="L1861" t="b">
        <v>0</v>
      </c>
      <c r="M1861" t="b">
        <v>0</v>
      </c>
      <c r="N1861" t="inlineStr">
        <is>
          <t>alt</t>
        </is>
      </c>
      <c r="O1861" t="n">
        <v>95</v>
      </c>
      <c r="P1861" t="n">
        <v>0.004223</v>
      </c>
      <c r="Q1861" t="n">
        <v>100</v>
      </c>
      <c r="R1861" t="n">
        <v>0.01855</v>
      </c>
      <c r="S1861">
        <f>IMAGE("https://mitra.stanford.edu/kundaje/oak/projects/neuro-variants/variant_position/credible/roussos_2024/variant_figures/roussos_2024.childhood.GLU/rs17576165_count_position.png",4,220,900)</f>
        <v/>
      </c>
      <c r="T1861">
        <f>IMAGE("https://mitra.stanford.edu/kundaje/oak/projects/neuro-variants/variant_position/credible/roussos_2024/variant_figures/roussos_2024.childhood.GLU/rs17576165_profile_position.png",4,220,900)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-0.09370405399999999</v>
      </c>
      <c r="G1862" t="n">
        <v>0.0670137624119749</v>
      </c>
      <c r="H1862" t="n">
        <v>0.017964398922894</v>
      </c>
      <c r="I1862" t="n">
        <v>0.1555135948155896</v>
      </c>
      <c r="J1862" t="n">
        <v>0.0105009941586738</v>
      </c>
      <c r="K1862" t="n">
        <v>0.5803415737150901</v>
      </c>
      <c r="L1862" t="b">
        <v>0</v>
      </c>
      <c r="M1862" t="b">
        <v>0</v>
      </c>
      <c r="N1862" t="inlineStr">
        <is>
          <t>ref</t>
        </is>
      </c>
      <c r="O1862" t="n">
        <v>-100</v>
      </c>
      <c r="P1862" t="n">
        <v>0.007072</v>
      </c>
      <c r="Q1862" t="n">
        <v>40</v>
      </c>
      <c r="R1862" t="n">
        <v>0.02527</v>
      </c>
      <c r="S1862">
        <f>IMAGE("https://mitra.stanford.edu/kundaje/oak/projects/neuro-variants/variant_position/credible/roussos_2024/variant_figures/roussos_2024.childhood.GLU/rs62061812_count_position.png",4,220,900)</f>
        <v/>
      </c>
      <c r="T1862">
        <f>IMAGE("https://mitra.stanford.edu/kundaje/oak/projects/neuro-variants/variant_position/credible/roussos_2024/variant_figures/roussos_2024.childhood.GLU/rs62061812_profile_position.png",4,220,900)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-0.010504672</v>
      </c>
      <c r="G1863" t="n">
        <v>0.4759069585063261</v>
      </c>
      <c r="H1863" t="n">
        <v>0.0232037610057207</v>
      </c>
      <c r="I1863" t="n">
        <v>0.0575069155902153</v>
      </c>
      <c r="J1863" t="n">
        <v>0.0692418638672256</v>
      </c>
      <c r="K1863" t="n">
        <v>0.307522101825791</v>
      </c>
      <c r="L1863" t="b">
        <v>0</v>
      </c>
      <c r="M1863" t="b">
        <v>0</v>
      </c>
      <c r="N1863" t="inlineStr">
        <is>
          <t>ref</t>
        </is>
      </c>
      <c r="O1863" t="n">
        <v>-55</v>
      </c>
      <c r="P1863" t="n">
        <v>0.01474</v>
      </c>
      <c r="Q1863" t="n">
        <v>100</v>
      </c>
      <c r="R1863" t="n">
        <v>0.0543</v>
      </c>
      <c r="S1863">
        <f>IMAGE("https://mitra.stanford.edu/kundaje/oak/projects/neuro-variants/variant_position/credible/roussos_2024/variant_figures/roussos_2024.childhood.GLU/rs17576989_count_position.png",4,220,900)</f>
        <v/>
      </c>
      <c r="T1863">
        <f>IMAGE("https://mitra.stanford.edu/kundaje/oak/projects/neuro-variants/variant_position/credible/roussos_2024/variant_figures/roussos_2024.childhood.GLU/rs17576989_profile_position.png",4,220,900)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0.0139051013199999</v>
      </c>
      <c r="G1864" t="n">
        <v>0.5701068325171612</v>
      </c>
      <c r="H1864" t="n">
        <v>0.0109544965550389</v>
      </c>
      <c r="I1864" t="n">
        <v>0.5546539351482012</v>
      </c>
      <c r="J1864" t="n">
        <v>0.0072290273728455</v>
      </c>
      <c r="K1864" t="n">
        <v>0.6367459922682978</v>
      </c>
      <c r="L1864" t="b">
        <v>0</v>
      </c>
      <c r="M1864" t="b">
        <v>0</v>
      </c>
      <c r="N1864" t="inlineStr">
        <is>
          <t>alt</t>
        </is>
      </c>
      <c r="O1864" t="n">
        <v>-100</v>
      </c>
      <c r="P1864" t="n">
        <v>0.00551</v>
      </c>
      <c r="Q1864" t="n">
        <v>90</v>
      </c>
      <c r="R1864" t="n">
        <v>0.07025000000000001</v>
      </c>
      <c r="S1864">
        <f>IMAGE("https://mitra.stanford.edu/kundaje/oak/projects/neuro-variants/variant_position/credible/roussos_2024/variant_figures/roussos_2024.childhood.GLU/rs111295615_count_position.png",4,220,900)</f>
        <v/>
      </c>
      <c r="T1864">
        <f>IMAGE("https://mitra.stanford.edu/kundaje/oak/projects/neuro-variants/variant_position/credible/roussos_2024/variant_figures/roussos_2024.childhood.GLU/rs111295615_profile_position.png",4,220,900)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0.045527591</v>
      </c>
      <c r="G1865" t="n">
        <v>0.2008098170570802</v>
      </c>
      <c r="H1865" t="n">
        <v>0.016668215875485</v>
      </c>
      <c r="I1865" t="n">
        <v>0.1841501517682225</v>
      </c>
      <c r="J1865" t="n">
        <v>0.0313484500396632</v>
      </c>
      <c r="K1865" t="n">
        <v>0.423868970954831</v>
      </c>
      <c r="L1865" t="b">
        <v>0</v>
      </c>
      <c r="M1865" t="b">
        <v>0</v>
      </c>
      <c r="N1865" t="inlineStr">
        <is>
          <t>alt</t>
        </is>
      </c>
      <c r="O1865" t="n">
        <v>-90</v>
      </c>
      <c r="P1865" t="n">
        <v>0.0038</v>
      </c>
      <c r="Q1865" t="n">
        <v>-95</v>
      </c>
      <c r="R1865" t="n">
        <v>0.0727</v>
      </c>
      <c r="S1865">
        <f>IMAGE("https://mitra.stanford.edu/kundaje/oak/projects/neuro-variants/variant_position/credible/roussos_2024/variant_figures/roussos_2024.childhood.GLU/rs17577313_count_position.png",4,220,900)</f>
        <v/>
      </c>
      <c r="T1865">
        <f>IMAGE("https://mitra.stanford.edu/kundaje/oak/projects/neuro-variants/variant_position/credible/roussos_2024/variant_figures/roussos_2024.childhood.GLU/rs17577313_profile_position.png",4,220,900)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-0.00499404734</v>
      </c>
      <c r="G1866" t="n">
        <v>0.657405091065957</v>
      </c>
      <c r="H1866" t="n">
        <v>0.0167506175912664</v>
      </c>
      <c r="I1866" t="n">
        <v>0.1762137282610414</v>
      </c>
      <c r="J1866" t="n">
        <v>0.0498356805093388</v>
      </c>
      <c r="K1866" t="n">
        <v>0.357165241699982</v>
      </c>
      <c r="L1866" t="b">
        <v>0</v>
      </c>
      <c r="M1866" t="b">
        <v>0</v>
      </c>
      <c r="N1866" t="inlineStr">
        <is>
          <t>ref</t>
        </is>
      </c>
      <c r="O1866" t="n">
        <v>85</v>
      </c>
      <c r="P1866" t="n">
        <v>0.008670000000000001</v>
      </c>
      <c r="Q1866" t="n">
        <v>-30</v>
      </c>
      <c r="R1866" t="n">
        <v>0.0873</v>
      </c>
      <c r="S1866">
        <f>IMAGE("https://mitra.stanford.edu/kundaje/oak/projects/neuro-variants/variant_position/credible/roussos_2024/variant_figures/roussos_2024.childhood.GLU/rs4548919_count_position.png",4,220,900)</f>
        <v/>
      </c>
      <c r="T1866">
        <f>IMAGE("https://mitra.stanford.edu/kundaje/oak/projects/neuro-variants/variant_position/credible/roussos_2024/variant_figures/roussos_2024.childhood.GLU/rs4548919_profile_position.png",4,220,900)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-0.0703585966</v>
      </c>
      <c r="G1867" t="n">
        <v>0.0959224978835604</v>
      </c>
      <c r="H1867" t="n">
        <v>0.0133822728609206</v>
      </c>
      <c r="I1867" t="n">
        <v>0.3425819800451484</v>
      </c>
      <c r="J1867" t="n">
        <v>0.0582000061812973</v>
      </c>
      <c r="K1867" t="n">
        <v>0.369293728405224</v>
      </c>
      <c r="L1867" t="b">
        <v>0</v>
      </c>
      <c r="M1867" t="b">
        <v>0</v>
      </c>
      <c r="N1867" t="inlineStr">
        <is>
          <t>ref</t>
        </is>
      </c>
      <c r="O1867" t="n">
        <v>-40</v>
      </c>
      <c r="P1867" t="n">
        <v>0.002792</v>
      </c>
      <c r="Q1867" t="n">
        <v>-100</v>
      </c>
      <c r="R1867" t="n">
        <v>0.03885</v>
      </c>
      <c r="S1867">
        <f>IMAGE("https://mitra.stanford.edu/kundaje/oak/projects/neuro-variants/variant_position/credible/roussos_2024/variant_figures/roussos_2024.childhood.GLU/rs77560794_count_position.png",4,220,900)</f>
        <v/>
      </c>
      <c r="T1867">
        <f>IMAGE("https://mitra.stanford.edu/kundaje/oak/projects/neuro-variants/variant_position/credible/roussos_2024/variant_figures/roussos_2024.childhood.GLU/rs77560794_profile_position.png",4,220,900)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0.0542342185999999</v>
      </c>
      <c r="G1868" t="n">
        <v>0.1425876525796594</v>
      </c>
      <c r="H1868" t="n">
        <v>0.0164470363359728</v>
      </c>
      <c r="I1868" t="n">
        <v>0.1863375653775319</v>
      </c>
      <c r="J1868" t="n">
        <v>0.0234456612442951</v>
      </c>
      <c r="K1868" t="n">
        <v>0.4637552299186041</v>
      </c>
      <c r="L1868" t="b">
        <v>0</v>
      </c>
      <c r="M1868" t="b">
        <v>0</v>
      </c>
      <c r="N1868" t="inlineStr">
        <is>
          <t>alt</t>
        </is>
      </c>
      <c r="O1868" t="n">
        <v>-100</v>
      </c>
      <c r="P1868" t="n">
        <v>0.00261</v>
      </c>
      <c r="Q1868" t="n">
        <v>-80</v>
      </c>
      <c r="R1868" t="n">
        <v>0.0619</v>
      </c>
      <c r="S1868">
        <f>IMAGE("https://mitra.stanford.edu/kundaje/oak/projects/neuro-variants/variant_position/credible/roussos_2024/variant_figures/roussos_2024.childhood.GLU/rs3087534_count_position.png",4,220,900)</f>
        <v/>
      </c>
      <c r="T1868">
        <f>IMAGE("https://mitra.stanford.edu/kundaje/oak/projects/neuro-variants/variant_position/credible/roussos_2024/variant_figures/roussos_2024.childhood.GLU/rs3087534_profile_position.png",4,220,900)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-0.0726843618</v>
      </c>
      <c r="G1869" t="n">
        <v>0.0940924076056079</v>
      </c>
      <c r="H1869" t="n">
        <v>0.0166842243157155</v>
      </c>
      <c r="I1869" t="n">
        <v>0.1969966119417275</v>
      </c>
      <c r="J1869" t="n">
        <v>0.0986514469387124</v>
      </c>
      <c r="K1869" t="n">
        <v>0.2542069162025549</v>
      </c>
      <c r="L1869" t="b">
        <v>0</v>
      </c>
      <c r="M1869" t="b">
        <v>0</v>
      </c>
      <c r="N1869" t="inlineStr">
        <is>
          <t>ref</t>
        </is>
      </c>
      <c r="O1869" t="n">
        <v>55</v>
      </c>
      <c r="P1869" t="n">
        <v>0.007538</v>
      </c>
      <c r="Q1869" t="n">
        <v>-95</v>
      </c>
      <c r="R1869" t="n">
        <v>0.0338</v>
      </c>
      <c r="S1869">
        <f>IMAGE("https://mitra.stanford.edu/kundaje/oak/projects/neuro-variants/variant_position/credible/roussos_2024/variant_figures/roussos_2024.childhood.GLU/rs55672516_count_position.png",4,220,900)</f>
        <v/>
      </c>
      <c r="T1869">
        <f>IMAGE("https://mitra.stanford.edu/kundaje/oak/projects/neuro-variants/variant_position/credible/roussos_2024/variant_figures/roussos_2024.childhood.GLU/rs55672516_profile_position.png",4,220,900)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-0.0216762279</v>
      </c>
      <c r="G1870" t="n">
        <v>0.4802731867758553</v>
      </c>
      <c r="H1870" t="n">
        <v>0.009174592250869499</v>
      </c>
      <c r="I1870" t="n">
        <v>0.7514425273912786</v>
      </c>
      <c r="J1870" t="n">
        <v>0.0257461341135503</v>
      </c>
      <c r="K1870" t="n">
        <v>0.4559293665347176</v>
      </c>
      <c r="L1870" t="b">
        <v>0</v>
      </c>
      <c r="M1870" t="b">
        <v>0</v>
      </c>
      <c r="N1870" t="inlineStr">
        <is>
          <t>ref</t>
        </is>
      </c>
      <c r="O1870" t="n">
        <v>-60</v>
      </c>
      <c r="P1870" t="n">
        <v>0.1257</v>
      </c>
      <c r="Q1870" t="n">
        <v>-100</v>
      </c>
      <c r="R1870" t="n">
        <v>0.1289</v>
      </c>
      <c r="S1870">
        <f>IMAGE("https://mitra.stanford.edu/kundaje/oak/projects/neuro-variants/variant_position/credible/roussos_2024/variant_figures/roussos_2024.childhood.GLU/rs2532307_count_position.png",4,220,900)</f>
        <v/>
      </c>
      <c r="T1870">
        <f>IMAGE("https://mitra.stanford.edu/kundaje/oak/projects/neuro-variants/variant_position/credible/roussos_2024/variant_figures/roussos_2024.childhood.GLU/rs2532307_profile_position.png",4,220,900)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-0.13198701</v>
      </c>
      <c r="G1871" t="n">
        <v>0.022999624419058</v>
      </c>
      <c r="H1871" t="n">
        <v>0.0157669444332887</v>
      </c>
      <c r="I1871" t="n">
        <v>0.2165463322423543</v>
      </c>
      <c r="J1871" t="n">
        <v>0.1344051016308322</v>
      </c>
      <c r="K1871" t="n">
        <v>0.2030069933439724</v>
      </c>
      <c r="L1871" t="b">
        <v>0</v>
      </c>
      <c r="M1871" t="b">
        <v>0</v>
      </c>
      <c r="N1871" t="inlineStr">
        <is>
          <t>ref</t>
        </is>
      </c>
      <c r="O1871" t="n">
        <v>100</v>
      </c>
      <c r="P1871" t="n">
        <v>0.05414</v>
      </c>
      <c r="Q1871" t="n">
        <v>-85</v>
      </c>
      <c r="R1871" t="n">
        <v>0.1373</v>
      </c>
      <c r="S1871">
        <f>IMAGE("https://mitra.stanford.edu/kundaje/oak/projects/neuro-variants/variant_position/credible/roussos_2024/variant_figures/roussos_2024.childhood.GLU/rs2532276_count_position.png",4,220,900)</f>
        <v/>
      </c>
      <c r="T1871">
        <f>IMAGE("https://mitra.stanford.edu/kundaje/oak/projects/neuro-variants/variant_position/credible/roussos_2024/variant_figures/roussos_2024.childhood.GLU/rs2532276_profile_position.png",4,220,900)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-0.0459799744</v>
      </c>
      <c r="G1872" t="n">
        <v>0.2079925611029751</v>
      </c>
      <c r="H1872" t="n">
        <v>0.009645461419165601</v>
      </c>
      <c r="I1872" t="n">
        <v>0.6980782004143216</v>
      </c>
      <c r="J1872" t="n">
        <v>0.216974873025848</v>
      </c>
      <c r="K1872" t="n">
        <v>0.1386685144692055</v>
      </c>
      <c r="L1872" t="b">
        <v>0</v>
      </c>
      <c r="M1872" t="b">
        <v>0</v>
      </c>
      <c r="N1872" t="inlineStr">
        <is>
          <t>ref</t>
        </is>
      </c>
      <c r="O1872" t="n">
        <v>-55</v>
      </c>
      <c r="P1872" t="n">
        <v>0.00647</v>
      </c>
      <c r="Q1872" t="n">
        <v>-70</v>
      </c>
      <c r="R1872" t="n">
        <v>0.0798</v>
      </c>
      <c r="S1872">
        <f>IMAGE("https://mitra.stanford.edu/kundaje/oak/projects/neuro-variants/variant_position/credible/roussos_2024/variant_figures/roussos_2024.childhood.GLU/rs2696566_count_position.png",4,220,900)</f>
        <v/>
      </c>
      <c r="T1872">
        <f>IMAGE("https://mitra.stanford.edu/kundaje/oak/projects/neuro-variants/variant_position/credible/roussos_2024/variant_figures/roussos_2024.childhood.GLU/rs2696566_profile_position.png",4,220,900)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0.00556171714</v>
      </c>
      <c r="G1873" t="n">
        <v>0.7440496464105056</v>
      </c>
      <c r="H1873" t="n">
        <v>0.0089132144407356</v>
      </c>
      <c r="I1873" t="n">
        <v>0.72915836090036</v>
      </c>
      <c r="J1873" t="n">
        <v>0.0083931717267454</v>
      </c>
      <c r="K1873" t="n">
        <v>0.6060118994414935</v>
      </c>
      <c r="L1873" t="b">
        <v>0</v>
      </c>
      <c r="M1873" t="b">
        <v>0</v>
      </c>
      <c r="N1873" t="inlineStr">
        <is>
          <t>alt</t>
        </is>
      </c>
      <c r="O1873" t="n">
        <v>-80</v>
      </c>
      <c r="P1873" t="n">
        <v>0.0305</v>
      </c>
      <c r="Q1873" t="n">
        <v>-90</v>
      </c>
      <c r="R1873" t="n">
        <v>0.0328</v>
      </c>
      <c r="S1873">
        <f>IMAGE("https://mitra.stanford.edu/kundaje/oak/projects/neuro-variants/variant_position/credible/roussos_2024/variant_figures/roussos_2024.childhood.GLU/rs199437_count_position.png",4,220,900)</f>
        <v/>
      </c>
      <c r="T1873">
        <f>IMAGE("https://mitra.stanford.edu/kundaje/oak/projects/neuro-variants/variant_position/credible/roussos_2024/variant_figures/roussos_2024.childhood.GLU/rs199437_profile_position.png",4,220,900)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-0.0982820908</v>
      </c>
      <c r="G1874" t="n">
        <v>0.050088159852746</v>
      </c>
      <c r="H1874" t="n">
        <v>0.0128800249710882</v>
      </c>
      <c r="I1874" t="n">
        <v>0.3811870362640059</v>
      </c>
      <c r="J1874" t="n">
        <v>0.0020676439984752</v>
      </c>
      <c r="K1874" t="n">
        <v>0.7636892138845557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0.00401</v>
      </c>
      <c r="Q1874" t="n">
        <v>-100</v>
      </c>
      <c r="R1874" t="n">
        <v>0.1236</v>
      </c>
      <c r="S1874">
        <f>IMAGE("https://mitra.stanford.edu/kundaje/oak/projects/neuro-variants/variant_position/credible/roussos_2024/variant_figures/roussos_2024.childhood.GLU/rs538628_count_position.png",4,220,900)</f>
        <v/>
      </c>
      <c r="T1874">
        <f>IMAGE("https://mitra.stanford.edu/kundaje/oak/projects/neuro-variants/variant_position/credible/roussos_2024/variant_figures/roussos_2024.childhood.GLU/rs538628_profile_position.png",4,220,900)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-0.01182456178</v>
      </c>
      <c r="G1875" t="n">
        <v>0.5956918065657236</v>
      </c>
      <c r="H1875" t="n">
        <v>0.0096688524034354</v>
      </c>
      <c r="I1875" t="n">
        <v>0.6809720519496034</v>
      </c>
      <c r="J1875" t="n">
        <v>0.0015772610670979</v>
      </c>
      <c r="K1875" t="n">
        <v>0.7964295273660633</v>
      </c>
      <c r="L1875" t="b">
        <v>0</v>
      </c>
      <c r="M1875" t="b">
        <v>0</v>
      </c>
      <c r="N1875" t="inlineStr">
        <is>
          <t>ref</t>
        </is>
      </c>
      <c r="O1875" t="n">
        <v>-35</v>
      </c>
      <c r="P1875" t="n">
        <v>0.001976</v>
      </c>
      <c r="Q1875" t="n">
        <v>-95</v>
      </c>
      <c r="R1875" t="n">
        <v>0.07290000000000001</v>
      </c>
      <c r="S1875">
        <f>IMAGE("https://mitra.stanford.edu/kundaje/oak/projects/neuro-variants/variant_position/credible/roussos_2024/variant_figures/roussos_2024.childhood.GLU/rs199436_count_position.png",4,220,900)</f>
        <v/>
      </c>
      <c r="T1875">
        <f>IMAGE("https://mitra.stanford.edu/kundaje/oak/projects/neuro-variants/variant_position/credible/roussos_2024/variant_figures/roussos_2024.childhood.GLU/rs199436_profile_position.png",4,220,900)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-0.005238665726</v>
      </c>
      <c r="G1876" t="n">
        <v>0.8156273030647272</v>
      </c>
      <c r="H1876" t="n">
        <v>0.018207902894428</v>
      </c>
      <c r="I1876" t="n">
        <v>0.132980573436898</v>
      </c>
      <c r="J1876" t="n">
        <v>0.0076400836535588</v>
      </c>
      <c r="K1876" t="n">
        <v>0.647883380266319</v>
      </c>
      <c r="L1876" t="b">
        <v>0</v>
      </c>
      <c r="M1876" t="b">
        <v>0</v>
      </c>
      <c r="N1876" t="inlineStr">
        <is>
          <t>ref</t>
        </is>
      </c>
      <c r="O1876" t="n">
        <v>35</v>
      </c>
      <c r="P1876" t="n">
        <v>0.001938</v>
      </c>
      <c r="Q1876" t="n">
        <v>-100</v>
      </c>
      <c r="R1876" t="n">
        <v>0.1389</v>
      </c>
      <c r="S1876">
        <f>IMAGE("https://mitra.stanford.edu/kundaje/oak/projects/neuro-variants/variant_position/credible/roussos_2024/variant_figures/roussos_2024.childhood.GLU/rs199438_count_position.png",4,220,900)</f>
        <v/>
      </c>
      <c r="T1876">
        <f>IMAGE("https://mitra.stanford.edu/kundaje/oak/projects/neuro-variants/variant_position/credible/roussos_2024/variant_figures/roussos_2024.childhood.GLU/rs199438_profile_position.png",4,220,900)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0.02224792212</v>
      </c>
      <c r="G1877" t="n">
        <v>0.4475191118995988</v>
      </c>
      <c r="H1877" t="n">
        <v>0.0141968884994179</v>
      </c>
      <c r="I1877" t="n">
        <v>0.3238120023987177</v>
      </c>
      <c r="J1877" t="n">
        <v>0.0353477494926184</v>
      </c>
      <c r="K1877" t="n">
        <v>0.3998774717482504</v>
      </c>
      <c r="L1877" t="b">
        <v>0</v>
      </c>
      <c r="M1877" t="b">
        <v>0</v>
      </c>
      <c r="N1877" t="inlineStr">
        <is>
          <t>alt</t>
        </is>
      </c>
      <c r="O1877" t="n">
        <v>-60</v>
      </c>
      <c r="P1877" t="n">
        <v>0.01488</v>
      </c>
      <c r="Q1877" t="n">
        <v>-60</v>
      </c>
      <c r="R1877" t="n">
        <v>0.1401</v>
      </c>
      <c r="S1877">
        <f>IMAGE("https://mitra.stanford.edu/kundaje/oak/projects/neuro-variants/variant_position/credible/roussos_2024/variant_figures/roussos_2024.childhood.GLU/rs199453_count_position.png",4,220,900)</f>
        <v/>
      </c>
      <c r="T1877">
        <f>IMAGE("https://mitra.stanford.edu/kundaje/oak/projects/neuro-variants/variant_position/credible/roussos_2024/variant_figures/roussos_2024.childhood.GLU/rs199453_profile_position.png",4,220,900)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-0.2182992999999999</v>
      </c>
      <c r="G1878" t="n">
        <v>0.0059778053808209</v>
      </c>
      <c r="H1878" t="n">
        <v>0.0232445422013438</v>
      </c>
      <c r="I1878" t="n">
        <v>0.0576629075741471</v>
      </c>
      <c r="J1878" t="n">
        <v>0.0098086888437882</v>
      </c>
      <c r="K1878" t="n">
        <v>0.5994721018360923</v>
      </c>
      <c r="L1878" t="b">
        <v>1</v>
      </c>
      <c r="M1878" t="b">
        <v>1</v>
      </c>
      <c r="N1878" t="inlineStr">
        <is>
          <t>ref</t>
        </is>
      </c>
      <c r="O1878" t="n">
        <v>-65</v>
      </c>
      <c r="P1878" t="n">
        <v>0.0024</v>
      </c>
      <c r="Q1878" t="n">
        <v>-40</v>
      </c>
      <c r="R1878" t="n">
        <v>0.03625</v>
      </c>
      <c r="S1878">
        <f>IMAGE("https://mitra.stanford.edu/kundaje/oak/projects/neuro-variants/variant_position/credible/roussos_2024/variant_figures/roussos_2024.childhood.GLU/rs199451_count_position.png",4,220,900)</f>
        <v/>
      </c>
      <c r="T1878">
        <f>IMAGE("https://mitra.stanford.edu/kundaje/oak/projects/neuro-variants/variant_position/credible/roussos_2024/variant_figures/roussos_2024.childhood.GLU/rs199451_profile_position.png",4,220,900)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-0.0754551842</v>
      </c>
      <c r="G1879" t="n">
        <v>0.0652206662437875</v>
      </c>
      <c r="H1879" t="n">
        <v>0.0172252800337299</v>
      </c>
      <c r="I1879" t="n">
        <v>0.1611558805612921</v>
      </c>
      <c r="J1879" t="n">
        <v>0.0732906136998155</v>
      </c>
      <c r="K1879" t="n">
        <v>0.2935072294074108</v>
      </c>
      <c r="L1879" t="b">
        <v>0</v>
      </c>
      <c r="M1879" t="b">
        <v>0</v>
      </c>
      <c r="N1879" t="inlineStr">
        <is>
          <t>ref</t>
        </is>
      </c>
      <c r="O1879" t="n">
        <v>100</v>
      </c>
      <c r="P1879" t="n">
        <v>0.0287</v>
      </c>
      <c r="Q1879" t="n">
        <v>-85</v>
      </c>
      <c r="R1879" t="n">
        <v>0.0638</v>
      </c>
      <c r="S1879">
        <f>IMAGE("https://mitra.stanford.edu/kundaje/oak/projects/neuro-variants/variant_position/credible/roussos_2024/variant_figures/roussos_2024.childhood.GLU/rs199442_count_position.png",4,220,900)</f>
        <v/>
      </c>
      <c r="T1879">
        <f>IMAGE("https://mitra.stanford.edu/kundaje/oak/projects/neuro-variants/variant_position/credible/roussos_2024/variant_figures/roussos_2024.childhood.GLU/rs199442_profile_position.png",4,220,900)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-0.00101415904</v>
      </c>
      <c r="G1880" t="n">
        <v>0.7902264841020256</v>
      </c>
      <c r="H1880" t="n">
        <v>0.0243952968620312</v>
      </c>
      <c r="I1880" t="n">
        <v>0.0482828206270477</v>
      </c>
      <c r="J1880" t="n">
        <v>0.0003688174147752</v>
      </c>
      <c r="K1880" t="n">
        <v>0.8879058739025208</v>
      </c>
      <c r="L1880" t="b">
        <v>0</v>
      </c>
      <c r="M1880" t="b">
        <v>0</v>
      </c>
      <c r="N1880" t="inlineStr">
        <is>
          <t>ref</t>
        </is>
      </c>
      <c r="O1880" t="n">
        <v>-85</v>
      </c>
      <c r="P1880" t="n">
        <v>0.01157</v>
      </c>
      <c r="Q1880" t="n">
        <v>100</v>
      </c>
      <c r="R1880" t="n">
        <v>0.1287</v>
      </c>
      <c r="S1880">
        <f>IMAGE("https://mitra.stanford.edu/kundaje/oak/projects/neuro-variants/variant_position/credible/roussos_2024/variant_figures/roussos_2024.childhood.GLU/rs199534_count_position.png",4,220,900)</f>
        <v/>
      </c>
      <c r="T1880">
        <f>IMAGE("https://mitra.stanford.edu/kundaje/oak/projects/neuro-variants/variant_position/credible/roussos_2024/variant_figures/roussos_2024.childhood.GLU/rs199534_profile_position.png",4,220,900)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-0.00170540934</v>
      </c>
      <c r="G1881" t="n">
        <v>0.7807381192623828</v>
      </c>
      <c r="H1881" t="n">
        <v>0.0063242599380884</v>
      </c>
      <c r="I1881" t="n">
        <v>0.9790701167764688</v>
      </c>
      <c r="J1881" t="n">
        <v>0.3901954320211812</v>
      </c>
      <c r="K1881" t="n">
        <v>0.0673133389643833</v>
      </c>
      <c r="L1881" t="b">
        <v>0</v>
      </c>
      <c r="M1881" t="b">
        <v>0</v>
      </c>
      <c r="N1881" t="inlineStr">
        <is>
          <t>ref</t>
        </is>
      </c>
      <c r="O1881" t="n">
        <v>90</v>
      </c>
      <c r="P1881" t="n">
        <v>0.001265</v>
      </c>
      <c r="Q1881" t="n">
        <v>-100</v>
      </c>
      <c r="R1881" t="n">
        <v>0.0854</v>
      </c>
      <c r="S1881">
        <f>IMAGE("https://mitra.stanford.edu/kundaje/oak/projects/neuro-variants/variant_position/credible/roussos_2024/variant_figures/roussos_2024.childhood.GLU/rs199528_count_position.png",4,220,900)</f>
        <v/>
      </c>
      <c r="T1881">
        <f>IMAGE("https://mitra.stanford.edu/kundaje/oak/projects/neuro-variants/variant_position/credible/roussos_2024/variant_figures/roussos_2024.childhood.GLU/rs199528_profile_position.png",4,220,900)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-0.0991695757999999</v>
      </c>
      <c r="G1882" t="n">
        <v>0.0513150281385011</v>
      </c>
      <c r="H1882" t="n">
        <v>0.036195222750481</v>
      </c>
      <c r="I1882" t="n">
        <v>0.0099029759212226</v>
      </c>
      <c r="J1882" t="n">
        <v>0.8921126644482678</v>
      </c>
      <c r="K1882" t="n">
        <v>0.0023881541180894</v>
      </c>
      <c r="L1882" t="b">
        <v>1</v>
      </c>
      <c r="M1882" t="b">
        <v>1</v>
      </c>
      <c r="N1882" t="inlineStr">
        <is>
          <t>ref</t>
        </is>
      </c>
      <c r="O1882" t="n">
        <v>45</v>
      </c>
      <c r="P1882" t="n">
        <v>0.0008545</v>
      </c>
      <c r="Q1882" t="n">
        <v>100</v>
      </c>
      <c r="R1882" t="n">
        <v>0.05115</v>
      </c>
      <c r="S1882">
        <f>IMAGE("https://mitra.stanford.edu/kundaje/oak/projects/neuro-variants/variant_position/credible/roussos_2024/variant_figures/roussos_2024.childhood.GLU/rs199523_count_position.png",4,220,900)</f>
        <v/>
      </c>
      <c r="T1882">
        <f>IMAGE("https://mitra.stanford.edu/kundaje/oak/projects/neuro-variants/variant_position/credible/roussos_2024/variant_figures/roussos_2024.childhood.GLU/rs199523_profile_position.png",4,220,900)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-0.0064434642</v>
      </c>
      <c r="G1883" t="n">
        <v>0.6084794316075806</v>
      </c>
      <c r="H1883" t="n">
        <v>0.0534009465831293</v>
      </c>
      <c r="I1883" t="n">
        <v>0.0021177738820778</v>
      </c>
      <c r="J1883" t="n">
        <v>0.3042908506495513</v>
      </c>
      <c r="K1883" t="n">
        <v>0.096267606561434</v>
      </c>
      <c r="L1883" t="b">
        <v>1</v>
      </c>
      <c r="M1883" t="b">
        <v>1</v>
      </c>
      <c r="N1883" t="inlineStr">
        <is>
          <t>ref</t>
        </is>
      </c>
      <c r="O1883" t="n">
        <v>-100</v>
      </c>
      <c r="P1883" t="n">
        <v>0.002197</v>
      </c>
      <c r="Q1883" t="n">
        <v>90</v>
      </c>
      <c r="R1883" t="n">
        <v>0.0559</v>
      </c>
      <c r="S1883">
        <f>IMAGE("https://mitra.stanford.edu/kundaje/oak/projects/neuro-variants/variant_position/credible/roussos_2024/variant_figures/roussos_2024.childhood.GLU/rs199518_count_position.png",4,220,900)</f>
        <v/>
      </c>
      <c r="T1883">
        <f>IMAGE("https://mitra.stanford.edu/kundaje/oak/projects/neuro-variants/variant_position/credible/roussos_2024/variant_figures/roussos_2024.childhood.GLU/rs199518_profile_position.png",4,220,900)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-0.002672438868</v>
      </c>
      <c r="G1884" t="n">
        <v>0.9009364281021878</v>
      </c>
      <c r="H1884" t="n">
        <v>0.0233747178046244</v>
      </c>
      <c r="I1884" t="n">
        <v>0.0580355479722499</v>
      </c>
      <c r="J1884" t="n">
        <v>0.3030927091596526</v>
      </c>
      <c r="K1884" t="n">
        <v>0.0967474670071445</v>
      </c>
      <c r="L1884" t="b">
        <v>0</v>
      </c>
      <c r="M1884" t="b">
        <v>0</v>
      </c>
      <c r="N1884" t="inlineStr">
        <is>
          <t>ref</t>
        </is>
      </c>
      <c r="O1884" t="n">
        <v>-90</v>
      </c>
      <c r="P1884" t="n">
        <v>0.001648</v>
      </c>
      <c r="Q1884" t="n">
        <v>80</v>
      </c>
      <c r="R1884" t="n">
        <v>0.0373</v>
      </c>
      <c r="S1884">
        <f>IMAGE("https://mitra.stanford.edu/kundaje/oak/projects/neuro-variants/variant_position/credible/roussos_2024/variant_figures/roussos_2024.childhood.GLU/rs199517_count_position.png",4,220,900)</f>
        <v/>
      </c>
      <c r="T1884">
        <f>IMAGE("https://mitra.stanford.edu/kundaje/oak/projects/neuro-variants/variant_position/credible/roussos_2024/variant_figures/roussos_2024.childhood.GLU/rs199517_profile_position.png",4,220,900)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0.04033352472</v>
      </c>
      <c r="G1885" t="n">
        <v>0.2318700018072078</v>
      </c>
      <c r="H1885" t="n">
        <v>0.0134242584845484</v>
      </c>
      <c r="I1885" t="n">
        <v>0.3373847984446275</v>
      </c>
      <c r="J1885" t="n">
        <v>0.6269205806298743</v>
      </c>
      <c r="K1885" t="n">
        <v>0.0229069910647679</v>
      </c>
      <c r="L1885" t="b">
        <v>0</v>
      </c>
      <c r="M1885" t="b">
        <v>0</v>
      </c>
      <c r="N1885" t="inlineStr">
        <is>
          <t>alt</t>
        </is>
      </c>
      <c r="O1885" t="n">
        <v>-100</v>
      </c>
      <c r="P1885" t="n">
        <v>0.04114</v>
      </c>
      <c r="Q1885" t="n">
        <v>70</v>
      </c>
      <c r="R1885" t="n">
        <v>0.1616</v>
      </c>
      <c r="S1885">
        <f>IMAGE("https://mitra.stanford.edu/kundaje/oak/projects/neuro-variants/variant_position/credible/roussos_2024/variant_figures/roussos_2024.childhood.GLU/rs199515_count_position.png",4,220,900)</f>
        <v/>
      </c>
      <c r="T1885">
        <f>IMAGE("https://mitra.stanford.edu/kundaje/oak/projects/neuro-variants/variant_position/credible/roussos_2024/variant_figures/roussos_2024.childhood.GLU/rs199515_profile_position.png",4,220,900)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-0.0260725812</v>
      </c>
      <c r="G1886" t="n">
        <v>0.377896833087644</v>
      </c>
      <c r="H1886" t="n">
        <v>0.0103065560306065</v>
      </c>
      <c r="I1886" t="n">
        <v>0.6291758462897714</v>
      </c>
      <c r="J1886" t="n">
        <v>0.2872418020542511</v>
      </c>
      <c r="K1886" t="n">
        <v>0.1018445501205937</v>
      </c>
      <c r="L1886" t="b">
        <v>0</v>
      </c>
      <c r="M1886" t="b">
        <v>0</v>
      </c>
      <c r="N1886" t="inlineStr">
        <is>
          <t>ref</t>
        </is>
      </c>
      <c r="O1886" t="n">
        <v>-75</v>
      </c>
      <c r="P1886" t="n">
        <v>0.01936</v>
      </c>
      <c r="Q1886" t="n">
        <v>-100</v>
      </c>
      <c r="R1886" t="n">
        <v>0.0718</v>
      </c>
      <c r="S1886">
        <f>IMAGE("https://mitra.stanford.edu/kundaje/oak/projects/neuro-variants/variant_position/credible/roussos_2024/variant_figures/roussos_2024.childhood.GLU/rs199504_count_position.png",4,220,900)</f>
        <v/>
      </c>
      <c r="T1886">
        <f>IMAGE("https://mitra.stanford.edu/kundaje/oak/projects/neuro-variants/variant_position/credible/roussos_2024/variant_figures/roussos_2024.childhood.GLU/rs199504_profile_position.png",4,220,900)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0.0062467692</v>
      </c>
      <c r="G1887" t="n">
        <v>0.7321063516053705</v>
      </c>
      <c r="H1887" t="n">
        <v>0.0261749291538339</v>
      </c>
      <c r="I1887" t="n">
        <v>0.0357225124056872</v>
      </c>
      <c r="J1887" t="n">
        <v>0.3129724829241657</v>
      </c>
      <c r="K1887" t="n">
        <v>0.0919462689310744</v>
      </c>
      <c r="L1887" t="b">
        <v>0</v>
      </c>
      <c r="M1887" t="b">
        <v>0</v>
      </c>
      <c r="N1887" t="inlineStr">
        <is>
          <t>alt</t>
        </is>
      </c>
      <c r="O1887" t="n">
        <v>95</v>
      </c>
      <c r="P1887" t="n">
        <v>0.0338</v>
      </c>
      <c r="Q1887" t="n">
        <v>-60</v>
      </c>
      <c r="R1887" t="n">
        <v>0.07275</v>
      </c>
      <c r="S1887">
        <f>IMAGE("https://mitra.stanford.edu/kundaje/oak/projects/neuro-variants/variant_position/credible/roussos_2024/variant_figures/roussos_2024.childhood.GLU/rs199503_count_position.png",4,220,900)</f>
        <v/>
      </c>
      <c r="T1887">
        <f>IMAGE("https://mitra.stanford.edu/kundaje/oak/projects/neuro-variants/variant_position/credible/roussos_2024/variant_figures/roussos_2024.childhood.GLU/rs199503_profile_position.png",4,220,900)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-0.0413540006</v>
      </c>
      <c r="G1888" t="n">
        <v>0.2402483915514259</v>
      </c>
      <c r="H1888" t="n">
        <v>0.0385964670392009</v>
      </c>
      <c r="I1888" t="n">
        <v>0.007942031307159699</v>
      </c>
      <c r="J1888" t="n">
        <v>0.3147279714011971</v>
      </c>
      <c r="K1888" t="n">
        <v>0.0911446277983886</v>
      </c>
      <c r="L1888" t="b">
        <v>1</v>
      </c>
      <c r="M1888" t="b">
        <v>1</v>
      </c>
      <c r="N1888" t="inlineStr">
        <is>
          <t>ref</t>
        </is>
      </c>
      <c r="O1888" t="n">
        <v>-80</v>
      </c>
      <c r="P1888" t="n">
        <v>0.002869</v>
      </c>
      <c r="Q1888" t="n">
        <v>50</v>
      </c>
      <c r="R1888" t="n">
        <v>0.11206</v>
      </c>
      <c r="S1888">
        <f>IMAGE("https://mitra.stanford.edu/kundaje/oak/projects/neuro-variants/variant_position/credible/roussos_2024/variant_figures/roussos_2024.childhood.GLU/rs199498_count_position.png",4,220,900)</f>
        <v/>
      </c>
      <c r="T1888">
        <f>IMAGE("https://mitra.stanford.edu/kundaje/oak/projects/neuro-variants/variant_position/credible/roussos_2024/variant_figures/roussos_2024.childhood.GLU/rs199498_profile_position.png",4,220,900)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0.051333117</v>
      </c>
      <c r="G1889" t="n">
        <v>0.1667553788902787</v>
      </c>
      <c r="H1889" t="n">
        <v>0.010389396607819</v>
      </c>
      <c r="I1889" t="n">
        <v>0.6244072162673683</v>
      </c>
      <c r="J1889" t="n">
        <v>0.1308930944605272</v>
      </c>
      <c r="K1889" t="n">
        <v>0.2068531033544577</v>
      </c>
      <c r="L1889" t="b">
        <v>0</v>
      </c>
      <c r="M1889" t="b">
        <v>0</v>
      </c>
      <c r="N1889" t="inlineStr">
        <is>
          <t>alt</t>
        </is>
      </c>
      <c r="O1889" t="n">
        <v>-100</v>
      </c>
      <c r="P1889" t="n">
        <v>0.01738</v>
      </c>
      <c r="Q1889" t="n">
        <v>70</v>
      </c>
      <c r="R1889" t="n">
        <v>0.125</v>
      </c>
      <c r="S1889">
        <f>IMAGE("https://mitra.stanford.edu/kundaje/oak/projects/neuro-variants/variant_position/credible/roussos_2024/variant_figures/roussos_2024.childhood.GLU/rs4968282_count_position.png",4,220,900)</f>
        <v/>
      </c>
      <c r="T1889">
        <f>IMAGE("https://mitra.stanford.edu/kundaje/oak/projects/neuro-variants/variant_position/credible/roussos_2024/variant_figures/roussos_2024.childhood.GLU/rs4968282_profile_position.png",4,220,900)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0.0453178634</v>
      </c>
      <c r="G1890" t="n">
        <v>0.1991727178825023</v>
      </c>
      <c r="H1890" t="n">
        <v>0.019907216774358</v>
      </c>
      <c r="I1890" t="n">
        <v>0.1003936954782281</v>
      </c>
      <c r="J1890" t="n">
        <v>0.0393604417567246</v>
      </c>
      <c r="K1890" t="n">
        <v>0.3961798945768849</v>
      </c>
      <c r="L1890" t="b">
        <v>0</v>
      </c>
      <c r="M1890" t="b">
        <v>0</v>
      </c>
      <c r="N1890" t="inlineStr">
        <is>
          <t>alt</t>
        </is>
      </c>
      <c r="O1890" t="n">
        <v>60</v>
      </c>
      <c r="P1890" t="n">
        <v>0.00861</v>
      </c>
      <c r="Q1890" t="n">
        <v>-50</v>
      </c>
      <c r="R1890" t="n">
        <v>0.0453</v>
      </c>
      <c r="S1890">
        <f>IMAGE("https://mitra.stanford.edu/kundaje/oak/projects/neuro-variants/variant_position/credible/roussos_2024/variant_figures/roussos_2024.childhood.GLU/rs34316808_count_position.png",4,220,900)</f>
        <v/>
      </c>
      <c r="T1890">
        <f>IMAGE("https://mitra.stanford.edu/kundaje/oak/projects/neuro-variants/variant_position/credible/roussos_2024/variant_figures/roussos_2024.childhood.GLU/rs34316808_profile_position.png",4,220,900)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-0.022066617</v>
      </c>
      <c r="G1891" t="n">
        <v>0.4413367254601042</v>
      </c>
      <c r="H1891" t="n">
        <v>0.0106611022576936</v>
      </c>
      <c r="I1891" t="n">
        <v>0.5879125315891041</v>
      </c>
      <c r="J1891" t="n">
        <v>0.0761680076648087</v>
      </c>
      <c r="K1891" t="n">
        <v>0.2851442361809106</v>
      </c>
      <c r="L1891" t="b">
        <v>0</v>
      </c>
      <c r="M1891" t="b">
        <v>0</v>
      </c>
      <c r="N1891" t="inlineStr">
        <is>
          <t>ref</t>
        </is>
      </c>
      <c r="O1891" t="n">
        <v>-60</v>
      </c>
      <c r="P1891" t="n">
        <v>0.00768</v>
      </c>
      <c r="Q1891" t="n">
        <v>45</v>
      </c>
      <c r="R1891" t="n">
        <v>0.06619999999999999</v>
      </c>
      <c r="S1891">
        <f>IMAGE("https://mitra.stanford.edu/kundaje/oak/projects/neuro-variants/variant_position/credible/roussos_2024/variant_figures/roussos_2024.childhood.GLU/rs4530197_count_position.png",4,220,900)</f>
        <v/>
      </c>
      <c r="T1891">
        <f>IMAGE("https://mitra.stanford.edu/kundaje/oak/projects/neuro-variants/variant_position/credible/roussos_2024/variant_figures/roussos_2024.childhood.GLU/rs4530197_profile_position.png",4,220,900)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-0.01019942592</v>
      </c>
      <c r="G1892" t="n">
        <v>0.618645900387232</v>
      </c>
      <c r="H1892" t="n">
        <v>0.0217231099508169</v>
      </c>
      <c r="I1892" t="n">
        <v>0.0723444569889906</v>
      </c>
      <c r="J1892" t="n">
        <v>0.0350623795934766</v>
      </c>
      <c r="K1892" t="n">
        <v>0.4022691029153389</v>
      </c>
      <c r="L1892" t="b">
        <v>0</v>
      </c>
      <c r="M1892" t="b">
        <v>0</v>
      </c>
      <c r="N1892" t="inlineStr">
        <is>
          <t>ref</t>
        </is>
      </c>
      <c r="O1892" t="n">
        <v>95</v>
      </c>
      <c r="P1892" t="n">
        <v>0.03568</v>
      </c>
      <c r="Q1892" t="n">
        <v>90</v>
      </c>
      <c r="R1892" t="n">
        <v>0.1938</v>
      </c>
      <c r="S1892">
        <f>IMAGE("https://mitra.stanford.edu/kundaje/oak/projects/neuro-variants/variant_position/credible/roussos_2024/variant_figures/roussos_2024.childhood.GLU/rs12603880_count_position.png",4,220,900)</f>
        <v/>
      </c>
      <c r="T1892">
        <f>IMAGE("https://mitra.stanford.edu/kundaje/oak/projects/neuro-variants/variant_position/credible/roussos_2024/variant_figures/roussos_2024.childhood.GLU/rs12603880_profile_position.png",4,220,900)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0.0381431426</v>
      </c>
      <c r="G1893" t="n">
        <v>0.2583565722025644</v>
      </c>
      <c r="H1893" t="n">
        <v>0.0133636157997626</v>
      </c>
      <c r="I1893" t="n">
        <v>0.3477100905692113</v>
      </c>
      <c r="J1893" t="n">
        <v>0.564028969680736</v>
      </c>
      <c r="K1893" t="n">
        <v>0.0318743104835525</v>
      </c>
      <c r="L1893" t="b">
        <v>0</v>
      </c>
      <c r="M1893" t="b">
        <v>0</v>
      </c>
      <c r="N1893" t="inlineStr">
        <is>
          <t>alt</t>
        </is>
      </c>
      <c r="O1893" t="n">
        <v>85</v>
      </c>
      <c r="P1893" t="n">
        <v>0.005943</v>
      </c>
      <c r="Q1893" t="n">
        <v>100</v>
      </c>
      <c r="R1893" t="n">
        <v>0.0979</v>
      </c>
      <c r="S1893">
        <f>IMAGE("https://mitra.stanford.edu/kundaje/oak/projects/neuro-variants/variant_position/credible/roussos_2024/variant_figures/roussos_2024.childhood.GLU/rs4305_count_position.png",4,220,900)</f>
        <v/>
      </c>
      <c r="T1893">
        <f>IMAGE("https://mitra.stanford.edu/kundaje/oak/projects/neuro-variants/variant_position/credible/roussos_2024/variant_figures/roussos_2024.childhood.GLU/rs4305_profile_position.png",4,220,900)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0.003451746962</v>
      </c>
      <c r="G1894" t="n">
        <v>0.8395330228312089</v>
      </c>
      <c r="H1894" t="n">
        <v>0.0354357510729779</v>
      </c>
      <c r="I1894" t="n">
        <v>0.0111257860198067</v>
      </c>
      <c r="J1894" t="n">
        <v>0.2364263858984</v>
      </c>
      <c r="K1894" t="n">
        <v>0.1259336617642886</v>
      </c>
      <c r="L1894" t="b">
        <v>1</v>
      </c>
      <c r="M1894" t="b">
        <v>0</v>
      </c>
      <c r="N1894" t="inlineStr">
        <is>
          <t>alt</t>
        </is>
      </c>
      <c r="O1894" t="n">
        <v>-50</v>
      </c>
      <c r="P1894" t="n">
        <v>0.01682</v>
      </c>
      <c r="Q1894" t="n">
        <v>-60</v>
      </c>
      <c r="R1894" t="n">
        <v>0.3828</v>
      </c>
      <c r="S1894">
        <f>IMAGE("https://mitra.stanford.edu/kundaje/oak/projects/neuro-variants/variant_position/credible/roussos_2024/variant_figures/roussos_2024.childhood.GLU/rs72855201_count_position.png",4,220,900)</f>
        <v/>
      </c>
      <c r="T1894">
        <f>IMAGE("https://mitra.stanford.edu/kundaje/oak/projects/neuro-variants/variant_position/credible/roussos_2024/variant_figures/roussos_2024.childhood.GLU/rs72855201_profile_position.png",4,220,900)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-0.01635208974</v>
      </c>
      <c r="G1895" t="n">
        <v>0.5514084492953909</v>
      </c>
      <c r="H1895" t="n">
        <v>0.0133285123014825</v>
      </c>
      <c r="I1895" t="n">
        <v>0.3499304203474855</v>
      </c>
      <c r="J1895" t="n">
        <v>0.1118330637600831</v>
      </c>
      <c r="K1895" t="n">
        <v>0.229780049881335</v>
      </c>
      <c r="L1895" t="b">
        <v>0</v>
      </c>
      <c r="M1895" t="b">
        <v>0</v>
      </c>
      <c r="N1895" t="inlineStr">
        <is>
          <t>ref</t>
        </is>
      </c>
      <c r="O1895" t="n">
        <v>60</v>
      </c>
      <c r="P1895" t="n">
        <v>0.000824</v>
      </c>
      <c r="Q1895" t="n">
        <v>-45</v>
      </c>
      <c r="R1895" t="n">
        <v>0.01199</v>
      </c>
      <c r="S1895">
        <f>IMAGE("https://mitra.stanford.edu/kundaje/oak/projects/neuro-variants/variant_position/credible/roussos_2024/variant_figures/roussos_2024.childhood.GLU/rs114177791_count_position.png",4,220,900)</f>
        <v/>
      </c>
      <c r="T1895">
        <f>IMAGE("https://mitra.stanford.edu/kundaje/oak/projects/neuro-variants/variant_position/credible/roussos_2024/variant_figures/roussos_2024.childhood.GLU/rs114177791_profile_position.png",4,220,900)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0.0573337458</v>
      </c>
      <c r="G1896" t="n">
        <v>0.1381535323309992</v>
      </c>
      <c r="H1896" t="n">
        <v>0.0157778866085428</v>
      </c>
      <c r="I1896" t="n">
        <v>0.2144760740062437</v>
      </c>
      <c r="J1896" t="n">
        <v>0.0309415146239195</v>
      </c>
      <c r="K1896" t="n">
        <v>0.4228678259930077</v>
      </c>
      <c r="L1896" t="b">
        <v>0</v>
      </c>
      <c r="M1896" t="b">
        <v>0</v>
      </c>
      <c r="N1896" t="inlineStr">
        <is>
          <t>alt</t>
        </is>
      </c>
      <c r="O1896" t="n">
        <v>-100</v>
      </c>
      <c r="P1896" t="n">
        <v>0.002121</v>
      </c>
      <c r="Q1896" t="n">
        <v>45</v>
      </c>
      <c r="R1896" t="n">
        <v>0.02344</v>
      </c>
      <c r="S1896">
        <f>IMAGE("https://mitra.stanford.edu/kundaje/oak/projects/neuro-variants/variant_position/credible/roussos_2024/variant_figures/roussos_2024.childhood.GLU/rs11665120_count_position.png",4,220,900)</f>
        <v/>
      </c>
      <c r="T1896">
        <f>IMAGE("https://mitra.stanford.edu/kundaje/oak/projects/neuro-variants/variant_position/credible/roussos_2024/variant_figures/roussos_2024.childhood.GLU/rs11665120_profile_position.png",4,220,900)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-0.0947500226</v>
      </c>
      <c r="G1897" t="n">
        <v>0.0611578913900518</v>
      </c>
      <c r="H1897" t="n">
        <v>0.0182120119796423</v>
      </c>
      <c r="I1897" t="n">
        <v>0.1430276857738576</v>
      </c>
      <c r="J1897" t="n">
        <v>0.0003368807112612</v>
      </c>
      <c r="K1897" t="n">
        <v>0.9063110898619834</v>
      </c>
      <c r="L1897" t="b">
        <v>0</v>
      </c>
      <c r="M1897" t="b">
        <v>0</v>
      </c>
      <c r="N1897" t="inlineStr">
        <is>
          <t>ref</t>
        </is>
      </c>
      <c r="O1897" t="n">
        <v>100</v>
      </c>
      <c r="P1897" t="n">
        <v>0.02069</v>
      </c>
      <c r="Q1897" t="n">
        <v>-55</v>
      </c>
      <c r="R1897" t="n">
        <v>0.11896</v>
      </c>
      <c r="S1897">
        <f>IMAGE("https://mitra.stanford.edu/kundaje/oak/projects/neuro-variants/variant_position/credible/roussos_2024/variant_figures/roussos_2024.childhood.GLU/rs113895388_count_position.png",4,220,900)</f>
        <v/>
      </c>
      <c r="T1897">
        <f>IMAGE("https://mitra.stanford.edu/kundaje/oak/projects/neuro-variants/variant_position/credible/roussos_2024/variant_figures/roussos_2024.childhood.GLU/rs113895388_profile_position.png",4,220,900)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-0.1525793999999999</v>
      </c>
      <c r="G1898" t="n">
        <v>0.0161610421468949</v>
      </c>
      <c r="H1898" t="n">
        <v>0.0394190077236458</v>
      </c>
      <c r="I1898" t="n">
        <v>0.0073029299024592</v>
      </c>
      <c r="J1898" t="n">
        <v>0.0806350252918087</v>
      </c>
      <c r="K1898" t="n">
        <v>0.288960785048817</v>
      </c>
      <c r="L1898" t="b">
        <v>1</v>
      </c>
      <c r="M1898" t="b">
        <v>1</v>
      </c>
      <c r="N1898" t="inlineStr">
        <is>
          <t>ref</t>
        </is>
      </c>
      <c r="O1898" t="n">
        <v>100</v>
      </c>
      <c r="P1898" t="n">
        <v>0.0215</v>
      </c>
      <c r="Q1898" t="n">
        <v>100</v>
      </c>
      <c r="R1898" t="n">
        <v>0.1313</v>
      </c>
      <c r="S1898">
        <f>IMAGE("https://mitra.stanford.edu/kundaje/oak/projects/neuro-variants/variant_position/credible/roussos_2024/variant_figures/roussos_2024.childhood.GLU/rs188275234_count_position.png",4,220,900)</f>
        <v/>
      </c>
      <c r="T1898">
        <f>IMAGE("https://mitra.stanford.edu/kundaje/oak/projects/neuro-variants/variant_position/credible/roussos_2024/variant_figures/roussos_2024.childhood.GLU/rs188275234_profile_position.png",4,220,900)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-0.00451529115</v>
      </c>
      <c r="G1899" t="n">
        <v>0.7914303809361948</v>
      </c>
      <c r="H1899" t="n">
        <v>0.02953382776682</v>
      </c>
      <c r="I1899" t="n">
        <v>0.0228196821416526</v>
      </c>
      <c r="J1899" t="n">
        <v>0.006656227142077</v>
      </c>
      <c r="K1899" t="n">
        <v>0.645907734487788</v>
      </c>
      <c r="L1899" t="b">
        <v>0</v>
      </c>
      <c r="M1899" t="b">
        <v>0</v>
      </c>
      <c r="N1899" t="inlineStr">
        <is>
          <t>ref</t>
        </is>
      </c>
      <c r="O1899" t="n">
        <v>-95</v>
      </c>
      <c r="P1899" t="n">
        <v>0.0872</v>
      </c>
      <c r="Q1899" t="n">
        <v>-50</v>
      </c>
      <c r="R1899" t="n">
        <v>0.334</v>
      </c>
      <c r="S1899">
        <f>IMAGE("https://mitra.stanford.edu/kundaje/oak/projects/neuro-variants/variant_position/credible/roussos_2024/variant_figures/roussos_2024.childhood.GLU/rs11083369_count_position.png",4,220,900)</f>
        <v/>
      </c>
      <c r="T1899">
        <f>IMAGE("https://mitra.stanford.edu/kundaje/oak/projects/neuro-variants/variant_position/credible/roussos_2024/variant_figures/roussos_2024.childhood.GLU/rs11083369_profile_position.png",4,220,900)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-0.079057354</v>
      </c>
      <c r="G1900" t="n">
        <v>0.09346195148980151</v>
      </c>
      <c r="H1900" t="n">
        <v>0.0259063607103124</v>
      </c>
      <c r="I1900" t="n">
        <v>0.0387184804274247</v>
      </c>
      <c r="J1900" t="n">
        <v>0.0322735842253288</v>
      </c>
      <c r="K1900" t="n">
        <v>0.431103787538466</v>
      </c>
      <c r="L1900" t="b">
        <v>0</v>
      </c>
      <c r="M1900" t="b">
        <v>0</v>
      </c>
      <c r="N1900" t="inlineStr">
        <is>
          <t>ref</t>
        </is>
      </c>
      <c r="O1900" t="n">
        <v>25</v>
      </c>
      <c r="P1900" t="n">
        <v>0.02301</v>
      </c>
      <c r="Q1900" t="n">
        <v>60</v>
      </c>
      <c r="R1900" t="n">
        <v>0.05255</v>
      </c>
      <c r="S1900">
        <f>IMAGE("https://mitra.stanford.edu/kundaje/oak/projects/neuro-variants/variant_position/credible/roussos_2024/variant_figures/roussos_2024.childhood.GLU/rs7505145_count_position.png",4,220,900)</f>
        <v/>
      </c>
      <c r="T1900">
        <f>IMAGE("https://mitra.stanford.edu/kundaje/oak/projects/neuro-variants/variant_position/credible/roussos_2024/variant_figures/roussos_2024.childhood.GLU/rs7505145_profile_position.png",4,220,900)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-0.007917252059999999</v>
      </c>
      <c r="G1901" t="n">
        <v>0.7348792296240136</v>
      </c>
      <c r="H1901" t="n">
        <v>0.0076735995741383</v>
      </c>
      <c r="I1901" t="n">
        <v>0.8957460792701902</v>
      </c>
      <c r="J1901" t="n">
        <v>5.04805958770746e-05</v>
      </c>
      <c r="K1901" t="n">
        <v>0.9633486874683412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0.006004</v>
      </c>
      <c r="Q1901" t="n">
        <v>30</v>
      </c>
      <c r="R1901" t="n">
        <v>0.04572</v>
      </c>
      <c r="S1901">
        <f>IMAGE("https://mitra.stanford.edu/kundaje/oak/projects/neuro-variants/variant_position/credible/roussos_2024/variant_figures/roussos_2024.childhood.GLU/rs62099231_count_position.png",4,220,900)</f>
        <v/>
      </c>
      <c r="T1901">
        <f>IMAGE("https://mitra.stanford.edu/kundaje/oak/projects/neuro-variants/variant_position/credible/roussos_2024/variant_figures/roussos_2024.childhood.GLU/rs62099231_profile_position.png",4,220,900)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-0.0661664998</v>
      </c>
      <c r="G1902" t="n">
        <v>0.1117935564814393</v>
      </c>
      <c r="H1902" t="n">
        <v>0.0287831059267767</v>
      </c>
      <c r="I1902" t="n">
        <v>0.0255422696200776</v>
      </c>
      <c r="J1902" t="n">
        <v>0.0020017101589622</v>
      </c>
      <c r="K1902" t="n">
        <v>0.7863400122999649</v>
      </c>
      <c r="L1902" t="b">
        <v>0</v>
      </c>
      <c r="M1902" t="b">
        <v>0</v>
      </c>
      <c r="N1902" t="inlineStr">
        <is>
          <t>ref</t>
        </is>
      </c>
      <c r="O1902" t="n">
        <v>-100</v>
      </c>
      <c r="P1902" t="n">
        <v>0.02126</v>
      </c>
      <c r="Q1902" t="n">
        <v>35</v>
      </c>
      <c r="R1902" t="n">
        <v>0.012726</v>
      </c>
      <c r="S1902">
        <f>IMAGE("https://mitra.stanford.edu/kundaje/oak/projects/neuro-variants/variant_position/credible/roussos_2024/variant_figures/roussos_2024.childhood.GLU/rs4100041_count_position.png",4,220,900)</f>
        <v/>
      </c>
      <c r="T1902">
        <f>IMAGE("https://mitra.stanford.edu/kundaje/oak/projects/neuro-variants/variant_position/credible/roussos_2024/variant_figures/roussos_2024.childhood.GLU/rs4100041_profile_position.png",4,220,900)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-0.00798345212</v>
      </c>
      <c r="G1903" t="n">
        <v>0.7413172637230966</v>
      </c>
      <c r="H1903" t="n">
        <v>0.0411192430808127</v>
      </c>
      <c r="I1903" t="n">
        <v>0.0058785638454678</v>
      </c>
      <c r="J1903" t="n">
        <v>0.0038715526388988</v>
      </c>
      <c r="K1903" t="n">
        <v>0.7166173243727646</v>
      </c>
      <c r="L1903" t="b">
        <v>0</v>
      </c>
      <c r="M1903" t="b">
        <v>0</v>
      </c>
      <c r="N1903" t="inlineStr">
        <is>
          <t>ref</t>
        </is>
      </c>
      <c r="O1903" t="n">
        <v>95</v>
      </c>
      <c r="P1903" t="n">
        <v>0.006546</v>
      </c>
      <c r="Q1903" t="n">
        <v>-100</v>
      </c>
      <c r="R1903" t="n">
        <v>0.12463</v>
      </c>
      <c r="S1903">
        <f>IMAGE("https://mitra.stanford.edu/kundaje/oak/projects/neuro-variants/variant_position/credible/roussos_2024/variant_figures/roussos_2024.childhood.GLU/rs77916462_count_position.png",4,220,900)</f>
        <v/>
      </c>
      <c r="T1903">
        <f>IMAGE("https://mitra.stanford.edu/kundaje/oak/projects/neuro-variants/variant_position/credible/roussos_2024/variant_figures/roussos_2024.childhood.GLU/rs77916462_profile_position.png",4,220,900)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-0.00873710198</v>
      </c>
      <c r="G1904" t="n">
        <v>0.7184696211798358</v>
      </c>
      <c r="H1904" t="n">
        <v>0.0397827664353003</v>
      </c>
      <c r="I1904" t="n">
        <v>0.0066470480526781</v>
      </c>
      <c r="J1904" t="n">
        <v>0.003888036098777</v>
      </c>
      <c r="K1904" t="n">
        <v>0.7161846786407076</v>
      </c>
      <c r="L1904" t="b">
        <v>0</v>
      </c>
      <c r="M1904" t="b">
        <v>0</v>
      </c>
      <c r="N1904" t="inlineStr">
        <is>
          <t>ref</t>
        </is>
      </c>
      <c r="O1904" t="n">
        <v>95</v>
      </c>
      <c r="P1904" t="n">
        <v>0.009995</v>
      </c>
      <c r="Q1904" t="n">
        <v>-60</v>
      </c>
      <c r="R1904" t="n">
        <v>0.124</v>
      </c>
      <c r="S1904">
        <f>IMAGE("https://mitra.stanford.edu/kundaje/oak/projects/neuro-variants/variant_position/credible/roussos_2024/variant_figures/roussos_2024.childhood.GLU/rs75048819_count_position.png",4,220,900)</f>
        <v/>
      </c>
      <c r="T1904">
        <f>IMAGE("https://mitra.stanford.edu/kundaje/oak/projects/neuro-variants/variant_position/credible/roussos_2024/variant_figures/roussos_2024.childhood.GLU/rs75048819_profile_position.png",4,220,900)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-0.0202491733999999</v>
      </c>
      <c r="G1905" t="n">
        <v>0.4006403477869689</v>
      </c>
      <c r="H1905" t="n">
        <v>0.0099307228912674</v>
      </c>
      <c r="I1905" t="n">
        <v>0.671689201053687</v>
      </c>
      <c r="J1905" t="n">
        <v>0.0472889859581525</v>
      </c>
      <c r="K1905" t="n">
        <v>0.3558275713212489</v>
      </c>
      <c r="L1905" t="b">
        <v>0</v>
      </c>
      <c r="M1905" t="b">
        <v>0</v>
      </c>
      <c r="N1905" t="inlineStr">
        <is>
          <t>ref</t>
        </is>
      </c>
      <c r="O1905" t="n">
        <v>55</v>
      </c>
      <c r="P1905" t="n">
        <v>0.02509</v>
      </c>
      <c r="Q1905" t="n">
        <v>-100</v>
      </c>
      <c r="R1905" t="n">
        <v>0.06859999999999999</v>
      </c>
      <c r="S1905">
        <f>IMAGE("https://mitra.stanford.edu/kundaje/oak/projects/neuro-variants/variant_position/credible/roussos_2024/variant_figures/roussos_2024.childhood.GLU/rs138740375_count_position.png",4,220,900)</f>
        <v/>
      </c>
      <c r="T1905">
        <f>IMAGE("https://mitra.stanford.edu/kundaje/oak/projects/neuro-variants/variant_position/credible/roussos_2024/variant_figures/roussos_2024.childhood.GLU/rs138740375_profile_position.png",4,220,900)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0.0644650004</v>
      </c>
      <c r="G1906" t="n">
        <v>0.1328567732078227</v>
      </c>
      <c r="H1906" t="n">
        <v>0.0208517443185241</v>
      </c>
      <c r="I1906" t="n">
        <v>0.08515907888367991</v>
      </c>
      <c r="J1906" t="n">
        <v>0.0747154027630399</v>
      </c>
      <c r="K1906" t="n">
        <v>0.2868443401338785</v>
      </c>
      <c r="L1906" t="b">
        <v>0</v>
      </c>
      <c r="M1906" t="b">
        <v>0</v>
      </c>
      <c r="N1906" t="inlineStr">
        <is>
          <t>alt</t>
        </is>
      </c>
      <c r="O1906" t="n">
        <v>-10</v>
      </c>
      <c r="P1906" t="n">
        <v>0.000847</v>
      </c>
      <c r="Q1906" t="n">
        <v>-45</v>
      </c>
      <c r="R1906" t="n">
        <v>0.0742</v>
      </c>
      <c r="S1906">
        <f>IMAGE("https://mitra.stanford.edu/kundaje/oak/projects/neuro-variants/variant_position/credible/roussos_2024/variant_figures/roussos_2024.childhood.GLU/rs11874716_count_position.png",4,220,900)</f>
        <v/>
      </c>
      <c r="T1906">
        <f>IMAGE("https://mitra.stanford.edu/kundaje/oak/projects/neuro-variants/variant_position/credible/roussos_2024/variant_figures/roussos_2024.childhood.GLU/rs11874716_profile_position.png",4,220,900)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0.00489476804</v>
      </c>
      <c r="G1907" t="n">
        <v>0.7980514315765009</v>
      </c>
      <c r="H1907" t="n">
        <v>0.0070474082487769</v>
      </c>
      <c r="I1907" t="n">
        <v>0.9378582904725956</v>
      </c>
      <c r="J1907" t="n">
        <v>0.0026661996353033</v>
      </c>
      <c r="K1907" t="n">
        <v>0.7603421464459487</v>
      </c>
      <c r="L1907" t="b">
        <v>0</v>
      </c>
      <c r="M1907" t="b">
        <v>0</v>
      </c>
      <c r="N1907" t="inlineStr">
        <is>
          <t>alt</t>
        </is>
      </c>
      <c r="O1907" t="n">
        <v>-30</v>
      </c>
      <c r="P1907" t="n">
        <v>0.00458</v>
      </c>
      <c r="Q1907" t="n">
        <v>100</v>
      </c>
      <c r="R1907" t="n">
        <v>0.08160000000000001</v>
      </c>
      <c r="S1907">
        <f>IMAGE("https://mitra.stanford.edu/kundaje/oak/projects/neuro-variants/variant_position/credible/roussos_2024/variant_figures/roussos_2024.childhood.GLU/rs4801131_count_position.png",4,220,900)</f>
        <v/>
      </c>
      <c r="T1907">
        <f>IMAGE("https://mitra.stanford.edu/kundaje/oak/projects/neuro-variants/variant_position/credible/roussos_2024/variant_figures/roussos_2024.childhood.GLU/rs4801131_profile_position.png",4,220,900)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-0.00278610876</v>
      </c>
      <c r="G1908" t="n">
        <v>0.7065153251599942</v>
      </c>
      <c r="H1908" t="n">
        <v>0.0177959864098672</v>
      </c>
      <c r="I1908" t="n">
        <v>0.1541300401482306</v>
      </c>
      <c r="J1908" t="n">
        <v>0.0202561117578579</v>
      </c>
      <c r="K1908" t="n">
        <v>0.5026682167058319</v>
      </c>
      <c r="L1908" t="b">
        <v>0</v>
      </c>
      <c r="M1908" t="b">
        <v>0</v>
      </c>
      <c r="N1908" t="inlineStr">
        <is>
          <t>ref</t>
        </is>
      </c>
      <c r="O1908" t="n">
        <v>-50</v>
      </c>
      <c r="P1908" t="n">
        <v>0.007553</v>
      </c>
      <c r="Q1908" t="n">
        <v>-35</v>
      </c>
      <c r="R1908" t="n">
        <v>0.0665</v>
      </c>
      <c r="S1908">
        <f>IMAGE("https://mitra.stanford.edu/kundaje/oak/projects/neuro-variants/variant_position/credible/roussos_2024/variant_figures/roussos_2024.childhood.GLU/rs4589643_count_position.png",4,220,900)</f>
        <v/>
      </c>
      <c r="T1908">
        <f>IMAGE("https://mitra.stanford.edu/kundaje/oak/projects/neuro-variants/variant_position/credible/roussos_2024/variant_figures/roussos_2024.childhood.GLU/rs4589643_profile_position.png",4,220,900)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-0.00529047264</v>
      </c>
      <c r="G1909" t="n">
        <v>0.8078605316149797</v>
      </c>
      <c r="H1909" t="n">
        <v>0.0094485024968596</v>
      </c>
      <c r="I1909" t="n">
        <v>0.7101649319375593</v>
      </c>
      <c r="J1909" t="n">
        <v>0.0023458023839203</v>
      </c>
      <c r="K1909" t="n">
        <v>0.7684067258997652</v>
      </c>
      <c r="L1909" t="b">
        <v>0</v>
      </c>
      <c r="M1909" t="b">
        <v>0</v>
      </c>
      <c r="N1909" t="inlineStr">
        <is>
          <t>ref</t>
        </is>
      </c>
      <c r="O1909" t="n">
        <v>65</v>
      </c>
      <c r="P1909" t="n">
        <v>0.005913</v>
      </c>
      <c r="Q1909" t="n">
        <v>-100</v>
      </c>
      <c r="R1909" t="n">
        <v>0.09143</v>
      </c>
      <c r="S1909">
        <f>IMAGE("https://mitra.stanford.edu/kundaje/oak/projects/neuro-variants/variant_position/credible/roussos_2024/variant_figures/roussos_2024.childhood.GLU/rs4608411_count_position.png",4,220,900)</f>
        <v/>
      </c>
      <c r="T1909">
        <f>IMAGE("https://mitra.stanford.edu/kundaje/oak/projects/neuro-variants/variant_position/credible/roussos_2024/variant_figures/roussos_2024.childhood.GLU/rs4608411_profile_position.png",4,220,900)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0.1305589171999999</v>
      </c>
      <c r="G1910" t="n">
        <v>0.024159305560058</v>
      </c>
      <c r="H1910" t="n">
        <v>0.0242078452297545</v>
      </c>
      <c r="I1910" t="n">
        <v>0.052170596875981</v>
      </c>
      <c r="J1910" t="n">
        <v>0.0316379408037746</v>
      </c>
      <c r="K1910" t="n">
        <v>0.430334095742451</v>
      </c>
      <c r="L1910" t="b">
        <v>0</v>
      </c>
      <c r="M1910" t="b">
        <v>0</v>
      </c>
      <c r="N1910" t="inlineStr">
        <is>
          <t>alt</t>
        </is>
      </c>
      <c r="O1910" t="n">
        <v>-100</v>
      </c>
      <c r="P1910" t="n">
        <v>0.009860000000000001</v>
      </c>
      <c r="Q1910" t="n">
        <v>-25</v>
      </c>
      <c r="R1910" t="n">
        <v>0.02441</v>
      </c>
      <c r="S1910">
        <f>IMAGE("https://mitra.stanford.edu/kundaje/oak/projects/neuro-variants/variant_position/credible/roussos_2024/variant_figures/roussos_2024.childhood.GLU/rs78468782_count_position.png",4,220,900)</f>
        <v/>
      </c>
      <c r="T1910">
        <f>IMAGE("https://mitra.stanford.edu/kundaje/oak/projects/neuro-variants/variant_position/credible/roussos_2024/variant_figures/roussos_2024.childhood.GLU/rs78468782_profile_position.png",4,220,900)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-0.01189734506</v>
      </c>
      <c r="G1911" t="n">
        <v>0.6205588318446986</v>
      </c>
      <c r="H1911" t="n">
        <v>0.0130835099091765</v>
      </c>
      <c r="I1911" t="n">
        <v>0.3620335948352337</v>
      </c>
      <c r="J1911" t="n">
        <v>0.2464606920992716</v>
      </c>
      <c r="K1911" t="n">
        <v>0.1295150077149567</v>
      </c>
      <c r="L1911" t="b">
        <v>0</v>
      </c>
      <c r="M1911" t="b">
        <v>0</v>
      </c>
      <c r="N1911" t="inlineStr">
        <is>
          <t>ref</t>
        </is>
      </c>
      <c r="O1911" t="n">
        <v>-95</v>
      </c>
      <c r="P1911" t="n">
        <v>0.04163</v>
      </c>
      <c r="Q1911" t="n">
        <v>-90</v>
      </c>
      <c r="R1911" t="n">
        <v>0.31</v>
      </c>
      <c r="S1911">
        <f>IMAGE("https://mitra.stanford.edu/kundaje/oak/projects/neuro-variants/variant_position/credible/roussos_2024/variant_figures/roussos_2024.childhood.GLU/rs79694868_count_position.png",4,220,900)</f>
        <v/>
      </c>
      <c r="T1911">
        <f>IMAGE("https://mitra.stanford.edu/kundaje/oak/projects/neuro-variants/variant_position/credible/roussos_2024/variant_figures/roussos_2024.childhood.GLU/rs79694868_profile_position.png",4,220,900)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-0.083502285</v>
      </c>
      <c r="G1912" t="n">
        <v>0.06698967523406719</v>
      </c>
      <c r="H1912" t="n">
        <v>0.0213664916684652</v>
      </c>
      <c r="I1912" t="n">
        <v>0.080326622405981</v>
      </c>
      <c r="J1912" t="n">
        <v>0.0385836587099631</v>
      </c>
      <c r="K1912" t="n">
        <v>0.3898750803409859</v>
      </c>
      <c r="L1912" t="b">
        <v>0</v>
      </c>
      <c r="M1912" t="b">
        <v>0</v>
      </c>
      <c r="N1912" t="inlineStr">
        <is>
          <t>ref</t>
        </is>
      </c>
      <c r="O1912" t="n">
        <v>35</v>
      </c>
      <c r="P1912" t="n">
        <v>0.009544</v>
      </c>
      <c r="Q1912" t="n">
        <v>60</v>
      </c>
      <c r="R1912" t="n">
        <v>0.1294</v>
      </c>
      <c r="S1912">
        <f>IMAGE("https://mitra.stanford.edu/kundaje/oak/projects/neuro-variants/variant_position/credible/roussos_2024/variant_figures/roussos_2024.childhood.GLU/rs9953026_count_position.png",4,220,900)</f>
        <v/>
      </c>
      <c r="T1912">
        <f>IMAGE("https://mitra.stanford.edu/kundaje/oak/projects/neuro-variants/variant_position/credible/roussos_2024/variant_figures/roussos_2024.childhood.GLU/rs9953026_profile_position.png",4,220,900)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-0.0965238006</v>
      </c>
      <c r="G1913" t="n">
        <v>0.0528327727455731</v>
      </c>
      <c r="H1913" t="n">
        <v>0.0321102502579055</v>
      </c>
      <c r="I1913" t="n">
        <v>0.0162044519926607</v>
      </c>
      <c r="J1913" t="n">
        <v>0.0260685917974182</v>
      </c>
      <c r="K1913" t="n">
        <v>0.4656771107048841</v>
      </c>
      <c r="L1913" t="b">
        <v>1</v>
      </c>
      <c r="M1913" t="b">
        <v>0</v>
      </c>
      <c r="N1913" t="inlineStr">
        <is>
          <t>ref</t>
        </is>
      </c>
      <c r="O1913" t="n">
        <v>-15</v>
      </c>
      <c r="P1913" t="n">
        <v>0.0004578</v>
      </c>
      <c r="Q1913" t="n">
        <v>80</v>
      </c>
      <c r="R1913" t="n">
        <v>0.10754</v>
      </c>
      <c r="S1913">
        <f>IMAGE("https://mitra.stanford.edu/kundaje/oak/projects/neuro-variants/variant_position/credible/roussos_2024/variant_figures/roussos_2024.childhood.GLU/rs74776973_count_position.png",4,220,900)</f>
        <v/>
      </c>
      <c r="T1913">
        <f>IMAGE("https://mitra.stanford.edu/kundaje/oak/projects/neuro-variants/variant_position/credible/roussos_2024/variant_figures/roussos_2024.childhood.GLU/rs74776973_profile_position.png",4,220,900)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-0.01162441576</v>
      </c>
      <c r="G1914" t="n">
        <v>0.5263781197484767</v>
      </c>
      <c r="H1914" t="n">
        <v>0.02671304099911</v>
      </c>
      <c r="I1914" t="n">
        <v>0.0340845498192672</v>
      </c>
      <c r="J1914" t="n">
        <v>0.0193371588696467</v>
      </c>
      <c r="K1914" t="n">
        <v>0.5039731557517367</v>
      </c>
      <c r="L1914" t="b">
        <v>0</v>
      </c>
      <c r="M1914" t="b">
        <v>0</v>
      </c>
      <c r="N1914" t="inlineStr">
        <is>
          <t>ref</t>
        </is>
      </c>
      <c r="O1914" t="n">
        <v>80</v>
      </c>
      <c r="P1914" t="n">
        <v>0.006042</v>
      </c>
      <c r="Q1914" t="n">
        <v>45</v>
      </c>
      <c r="R1914" t="n">
        <v>0.09375</v>
      </c>
      <c r="S1914">
        <f>IMAGE("https://mitra.stanford.edu/kundaje/oak/projects/neuro-variants/variant_position/credible/roussos_2024/variant_figures/roussos_2024.childhood.GLU/rs79467351_count_position.png",4,220,900)</f>
        <v/>
      </c>
      <c r="T1914">
        <f>IMAGE("https://mitra.stanford.edu/kundaje/oak/projects/neuro-variants/variant_position/credible/roussos_2024/variant_figures/roussos_2024.childhood.GLU/rs79467351_profile_position.png",4,220,900)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-0.01330961554</v>
      </c>
      <c r="G1915" t="n">
        <v>0.5420782411295836</v>
      </c>
      <c r="H1915" t="n">
        <v>0.0141339726092846</v>
      </c>
      <c r="I1915" t="n">
        <v>0.2935416859027538</v>
      </c>
      <c r="J1915" t="n">
        <v>0.1081490104772991</v>
      </c>
      <c r="K1915" t="n">
        <v>0.2334557256463722</v>
      </c>
      <c r="L1915" t="b">
        <v>0</v>
      </c>
      <c r="M1915" t="b">
        <v>0</v>
      </c>
      <c r="N1915" t="inlineStr">
        <is>
          <t>ref</t>
        </is>
      </c>
      <c r="O1915" t="n">
        <v>-10</v>
      </c>
      <c r="P1915" t="n">
        <v>0.000725</v>
      </c>
      <c r="Q1915" t="n">
        <v>-45</v>
      </c>
      <c r="R1915" t="n">
        <v>0.02606</v>
      </c>
      <c r="S1915">
        <f>IMAGE("https://mitra.stanford.edu/kundaje/oak/projects/neuro-variants/variant_position/credible/roussos_2024/variant_figures/roussos_2024.childhood.GLU/rs76339649_count_position.png",4,220,900)</f>
        <v/>
      </c>
      <c r="T1915">
        <f>IMAGE("https://mitra.stanford.edu/kundaje/oak/projects/neuro-variants/variant_position/credible/roussos_2024/variant_figures/roussos_2024.childhood.GLU/rs76339649_profile_position.png",4,220,900)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-0.232805694</v>
      </c>
      <c r="G1916" t="n">
        <v>0.0049355167923628</v>
      </c>
      <c r="H1916" t="n">
        <v>0.0369782937158338</v>
      </c>
      <c r="I1916" t="n">
        <v>0.0090803654971769</v>
      </c>
      <c r="J1916" t="n">
        <v>0.2350036572676604</v>
      </c>
      <c r="K1916" t="n">
        <v>0.1272538835411093</v>
      </c>
      <c r="L1916" t="b">
        <v>1</v>
      </c>
      <c r="M1916" t="b">
        <v>1</v>
      </c>
      <c r="N1916" t="inlineStr">
        <is>
          <t>ref</t>
        </is>
      </c>
      <c r="O1916" t="n">
        <v>90</v>
      </c>
      <c r="P1916" t="n">
        <v>0.0506</v>
      </c>
      <c r="Q1916" t="n">
        <v>95</v>
      </c>
      <c r="R1916" t="n">
        <v>0.2046</v>
      </c>
      <c r="S1916">
        <f>IMAGE("https://mitra.stanford.edu/kundaje/oak/projects/neuro-variants/variant_position/credible/roussos_2024/variant_figures/roussos_2024.childhood.GLU/rs187698281_count_position.png",4,220,900)</f>
        <v/>
      </c>
      <c r="T1916">
        <f>IMAGE("https://mitra.stanford.edu/kundaje/oak/projects/neuro-variants/variant_position/credible/roussos_2024/variant_figures/roussos_2024.childhood.GLU/rs187698281_profile_position.png",4,220,900)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0.0485563844</v>
      </c>
      <c r="G1917" t="n">
        <v>0.1826533101535457</v>
      </c>
      <c r="H1917" t="n">
        <v>0.0132200122117283</v>
      </c>
      <c r="I1917" t="n">
        <v>0.357328281255511</v>
      </c>
      <c r="J1917" t="n">
        <v>0.0352807854368631</v>
      </c>
      <c r="K1917" t="n">
        <v>0.4162803911542251</v>
      </c>
      <c r="L1917" t="b">
        <v>0</v>
      </c>
      <c r="M1917" t="b">
        <v>0</v>
      </c>
      <c r="N1917" t="inlineStr">
        <is>
          <t>alt</t>
        </is>
      </c>
      <c r="O1917" t="n">
        <v>100</v>
      </c>
      <c r="P1917" t="n">
        <v>0.00826</v>
      </c>
      <c r="Q1917" t="n">
        <v>10</v>
      </c>
      <c r="R1917" t="n">
        <v>0.03467</v>
      </c>
      <c r="S1917">
        <f>IMAGE("https://mitra.stanford.edu/kundaje/oak/projects/neuro-variants/variant_position/credible/roussos_2024/variant_figures/roussos_2024.childhood.GLU/rs116959829_count_position.png",4,220,900)</f>
        <v/>
      </c>
      <c r="T1917">
        <f>IMAGE("https://mitra.stanford.edu/kundaje/oak/projects/neuro-variants/variant_position/credible/roussos_2024/variant_figures/roussos_2024.childhood.GLU/rs116959829_profile_position.png",4,220,900)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-0.037674207</v>
      </c>
      <c r="G1918" t="n">
        <v>0.2677186682043889</v>
      </c>
      <c r="H1918" t="n">
        <v>0.0090412661127718</v>
      </c>
      <c r="I1918" t="n">
        <v>0.7586381177775552</v>
      </c>
      <c r="J1918" t="n">
        <v>0.1297629472426262</v>
      </c>
      <c r="K1918" t="n">
        <v>0.2098156476397311</v>
      </c>
      <c r="L1918" t="b">
        <v>0</v>
      </c>
      <c r="M1918" t="b">
        <v>0</v>
      </c>
      <c r="N1918" t="inlineStr">
        <is>
          <t>ref</t>
        </is>
      </c>
      <c r="O1918" t="n">
        <v>100</v>
      </c>
      <c r="P1918" t="n">
        <v>0.03442</v>
      </c>
      <c r="Q1918" t="n">
        <v>90</v>
      </c>
      <c r="R1918" t="n">
        <v>0.2444</v>
      </c>
      <c r="S1918">
        <f>IMAGE("https://mitra.stanford.edu/kundaje/oak/projects/neuro-variants/variant_position/credible/roussos_2024/variant_figures/roussos_2024.childhood.GLU/rs73487018_count_position.png",4,220,900)</f>
        <v/>
      </c>
      <c r="T1918">
        <f>IMAGE("https://mitra.stanford.edu/kundaje/oak/projects/neuro-variants/variant_position/credible/roussos_2024/variant_figures/roussos_2024.childhood.GLU/rs73487018_profile_position.png",4,220,900)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-0.0408167267999999</v>
      </c>
      <c r="G1919" t="n">
        <v>0.257164252595545</v>
      </c>
      <c r="H1919" t="n">
        <v>0.0319489935749751</v>
      </c>
      <c r="I1919" t="n">
        <v>0.0166382558968032</v>
      </c>
      <c r="J1919" t="n">
        <v>0.1718081325270173</v>
      </c>
      <c r="K1919" t="n">
        <v>0.1703142974078533</v>
      </c>
      <c r="L1919" t="b">
        <v>1</v>
      </c>
      <c r="M1919" t="b">
        <v>0</v>
      </c>
      <c r="N1919" t="inlineStr">
        <is>
          <t>ref</t>
        </is>
      </c>
      <c r="O1919" t="n">
        <v>90</v>
      </c>
      <c r="P1919" t="n">
        <v>0.03647</v>
      </c>
      <c r="Q1919" t="n">
        <v>90</v>
      </c>
      <c r="R1919" t="n">
        <v>0.01855</v>
      </c>
      <c r="S1919">
        <f>IMAGE("https://mitra.stanford.edu/kundaje/oak/projects/neuro-variants/variant_position/credible/roussos_2024/variant_figures/roussos_2024.childhood.GLU/rs73487023_count_position.png",4,220,900)</f>
        <v/>
      </c>
      <c r="T1919">
        <f>IMAGE("https://mitra.stanford.edu/kundaje/oak/projects/neuro-variants/variant_position/credible/roussos_2024/variant_figures/roussos_2024.childhood.GLU/rs73487023_profile_position.png",4,220,900)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-0.0482209288</v>
      </c>
      <c r="G1920" t="n">
        <v>0.2009722287017765</v>
      </c>
      <c r="H1920" t="n">
        <v>0.0310689508650723</v>
      </c>
      <c r="I1920" t="n">
        <v>0.0186871477703844</v>
      </c>
      <c r="J1920" t="n">
        <v>0.06641701093059429</v>
      </c>
      <c r="K1920" t="n">
        <v>0.3134244330596013</v>
      </c>
      <c r="L1920" t="b">
        <v>1</v>
      </c>
      <c r="M1920" t="b">
        <v>0</v>
      </c>
      <c r="N1920" t="inlineStr">
        <is>
          <t>ref</t>
        </is>
      </c>
      <c r="O1920" t="n">
        <v>65</v>
      </c>
      <c r="P1920" t="n">
        <v>0.03372</v>
      </c>
      <c r="Q1920" t="n">
        <v>50</v>
      </c>
      <c r="R1920" t="n">
        <v>0.04523</v>
      </c>
      <c r="S1920">
        <f>IMAGE("https://mitra.stanford.edu/kundaje/oak/projects/neuro-variants/variant_position/credible/roussos_2024/variant_figures/roussos_2024.childhood.GLU/rs150458109_count_position.png",4,220,900)</f>
        <v/>
      </c>
      <c r="T1920">
        <f>IMAGE("https://mitra.stanford.edu/kundaje/oak/projects/neuro-variants/variant_position/credible/roussos_2024/variant_figures/roussos_2024.childhood.GLU/rs150458109_profile_position.png",4,220,900)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-0.0144488530799999</v>
      </c>
      <c r="G1921" t="n">
        <v>0.5986112801448108</v>
      </c>
      <c r="H1921" t="n">
        <v>0.0160659801420835</v>
      </c>
      <c r="I1921" t="n">
        <v>0.2113473505159423</v>
      </c>
      <c r="J1921" t="n">
        <v>0.0096788815972472</v>
      </c>
      <c r="K1921" t="n">
        <v>0.6003492051460128</v>
      </c>
      <c r="L1921" t="b">
        <v>0</v>
      </c>
      <c r="M1921" t="b">
        <v>0</v>
      </c>
      <c r="N1921" t="inlineStr">
        <is>
          <t>ref</t>
        </is>
      </c>
      <c r="O1921" t="n">
        <v>100</v>
      </c>
      <c r="P1921" t="n">
        <v>0.00424</v>
      </c>
      <c r="Q1921" t="n">
        <v>-65</v>
      </c>
      <c r="R1921" t="n">
        <v>0.02115</v>
      </c>
      <c r="S1921">
        <f>IMAGE("https://mitra.stanford.edu/kundaje/oak/projects/neuro-variants/variant_position/credible/roussos_2024/variant_figures/roussos_2024.childhood.GLU/rs142300078_count_position.png",4,220,900)</f>
        <v/>
      </c>
      <c r="T1921">
        <f>IMAGE("https://mitra.stanford.edu/kundaje/oak/projects/neuro-variants/variant_position/credible/roussos_2024/variant_figures/roussos_2024.childhood.GLU/rs142300078_profile_position.png",4,220,900)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-0.01266521384</v>
      </c>
      <c r="G1922" t="n">
        <v>0.6119838471454321</v>
      </c>
      <c r="H1922" t="n">
        <v>0.0100890557150314</v>
      </c>
      <c r="I1922" t="n">
        <v>0.646570713906802</v>
      </c>
      <c r="J1922" t="n">
        <v>0.1314998918272945</v>
      </c>
      <c r="K1922" t="n">
        <v>0.2087902226394593</v>
      </c>
      <c r="L1922" t="b">
        <v>0</v>
      </c>
      <c r="M1922" t="b">
        <v>0</v>
      </c>
      <c r="N1922" t="inlineStr">
        <is>
          <t>ref</t>
        </is>
      </c>
      <c r="O1922" t="n">
        <v>85</v>
      </c>
      <c r="P1922" t="n">
        <v>0.01819</v>
      </c>
      <c r="Q1922" t="n">
        <v>85</v>
      </c>
      <c r="R1922" t="n">
        <v>0.1827</v>
      </c>
      <c r="S1922">
        <f>IMAGE("https://mitra.stanford.edu/kundaje/oak/projects/neuro-variants/variant_position/credible/roussos_2024/variant_figures/roussos_2024.childhood.GLU/rs146016468_count_position.png",4,220,900)</f>
        <v/>
      </c>
      <c r="T1922">
        <f>IMAGE("https://mitra.stanford.edu/kundaje/oak/projects/neuro-variants/variant_position/credible/roussos_2024/variant_figures/roussos_2024.childhood.GLU/rs146016468_profile_position.png",4,220,900)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0.0037332615199999</v>
      </c>
      <c r="G1923" t="n">
        <v>0.7302760748692685</v>
      </c>
      <c r="H1923" t="n">
        <v>0.0180715456069253</v>
      </c>
      <c r="I1923" t="n">
        <v>0.1406430261215757</v>
      </c>
      <c r="J1923" t="n">
        <v>0.1115538751583957</v>
      </c>
      <c r="K1923" t="n">
        <v>0.2281187993852935</v>
      </c>
      <c r="L1923" t="b">
        <v>0</v>
      </c>
      <c r="M1923" t="b">
        <v>0</v>
      </c>
      <c r="N1923" t="inlineStr">
        <is>
          <t>alt</t>
        </is>
      </c>
      <c r="O1923" t="n">
        <v>-100</v>
      </c>
      <c r="P1923" t="n">
        <v>0.015236</v>
      </c>
      <c r="Q1923" t="n">
        <v>-60</v>
      </c>
      <c r="R1923" t="n">
        <v>0.06995</v>
      </c>
      <c r="S1923">
        <f>IMAGE("https://mitra.stanford.edu/kundaje/oak/projects/neuro-variants/variant_position/credible/roussos_2024/variant_figures/roussos_2024.childhood.GLU/rs1261115_count_position.png",4,220,900)</f>
        <v/>
      </c>
      <c r="T1923">
        <f>IMAGE("https://mitra.stanford.edu/kundaje/oak/projects/neuro-variants/variant_position/credible/roussos_2024/variant_figures/roussos_2024.childhood.GLU/rs1261115_profile_position.png",4,220,900)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-0.0323952927999999</v>
      </c>
      <c r="G1924" t="n">
        <v>0.325061317558581</v>
      </c>
      <c r="H1924" t="n">
        <v>0.0092922630441438</v>
      </c>
      <c r="I1924" t="n">
        <v>0.7459481265503629</v>
      </c>
      <c r="J1924" t="n">
        <v>0.0084724983774093</v>
      </c>
      <c r="K1924" t="n">
        <v>0.6057728786224512</v>
      </c>
      <c r="L1924" t="b">
        <v>0</v>
      </c>
      <c r="M1924" t="b">
        <v>0</v>
      </c>
      <c r="N1924" t="inlineStr">
        <is>
          <t>ref</t>
        </is>
      </c>
      <c r="O1924" t="n">
        <v>-100</v>
      </c>
      <c r="P1924" t="n">
        <v>0.010605</v>
      </c>
      <c r="Q1924" t="n">
        <v>-100</v>
      </c>
      <c r="R1924" t="n">
        <v>0.07820000000000001</v>
      </c>
      <c r="S1924">
        <f>IMAGE("https://mitra.stanford.edu/kundaje/oak/projects/neuro-variants/variant_position/credible/roussos_2024/variant_figures/roussos_2024.childhood.GLU/rs56666482_count_position.png",4,220,900)</f>
        <v/>
      </c>
      <c r="T1924">
        <f>IMAGE("https://mitra.stanford.edu/kundaje/oak/projects/neuro-variants/variant_position/credible/roussos_2024/variant_figures/roussos_2024.childhood.GLU/rs56666482_profile_position.png",4,220,900)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-0.0161611667999999</v>
      </c>
      <c r="G1925" t="n">
        <v>0.5316981108662402</v>
      </c>
      <c r="H1925" t="n">
        <v>0.0223029868096398</v>
      </c>
      <c r="I1925" t="n">
        <v>0.0664588137260036</v>
      </c>
      <c r="J1925" t="n">
        <v>0.0001256863815714</v>
      </c>
      <c r="K1925" t="n">
        <v>0.9440636912188698</v>
      </c>
      <c r="L1925" t="b">
        <v>0</v>
      </c>
      <c r="M1925" t="b">
        <v>0</v>
      </c>
      <c r="N1925" t="inlineStr">
        <is>
          <t>ref</t>
        </is>
      </c>
      <c r="O1925" t="n">
        <v>-80</v>
      </c>
      <c r="P1925" t="n">
        <v>0.012</v>
      </c>
      <c r="Q1925" t="n">
        <v>-95</v>
      </c>
      <c r="R1925" t="n">
        <v>0.1334</v>
      </c>
      <c r="S1925">
        <f>IMAGE("https://mitra.stanford.edu/kundaje/oak/projects/neuro-variants/variant_position/credible/roussos_2024/variant_figures/roussos_2024.childhood.GLU/rs1261117_count_position.png",4,220,900)</f>
        <v/>
      </c>
      <c r="T1925">
        <f>IMAGE("https://mitra.stanford.edu/kundaje/oak/projects/neuro-variants/variant_position/credible/roussos_2024/variant_figures/roussos_2024.childhood.GLU/rs1261117_profile_position.png",4,220,900)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0.01184208872</v>
      </c>
      <c r="G1926" t="n">
        <v>0.6139412069103615</v>
      </c>
      <c r="H1926" t="n">
        <v>0.0233073901134773</v>
      </c>
      <c r="I1926" t="n">
        <v>0.0589002894237725</v>
      </c>
      <c r="J1926" t="n">
        <v>0.0064378212986905</v>
      </c>
      <c r="K1926" t="n">
        <v>0.6438375447182371</v>
      </c>
      <c r="L1926" t="b">
        <v>0</v>
      </c>
      <c r="M1926" t="b">
        <v>0</v>
      </c>
      <c r="N1926" t="inlineStr">
        <is>
          <t>alt</t>
        </is>
      </c>
      <c r="O1926" t="n">
        <v>85</v>
      </c>
      <c r="P1926" t="n">
        <v>0.007416</v>
      </c>
      <c r="Q1926" t="n">
        <v>100</v>
      </c>
      <c r="R1926" t="n">
        <v>0.1614</v>
      </c>
      <c r="S1926">
        <f>IMAGE("https://mitra.stanford.edu/kundaje/oak/projects/neuro-variants/variant_position/credible/roussos_2024/variant_figures/roussos_2024.childhood.GLU/rs1788031_count_position.png",4,220,900)</f>
        <v/>
      </c>
      <c r="T1926">
        <f>IMAGE("https://mitra.stanford.edu/kundaje/oak/projects/neuro-variants/variant_position/credible/roussos_2024/variant_figures/roussos_2024.childhood.GLU/rs1788031_profile_position.png",4,220,900)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0.0028192718999999</v>
      </c>
      <c r="G1927" t="n">
        <v>0.6013469394617166</v>
      </c>
      <c r="H1927" t="n">
        <v>0.01280224155203</v>
      </c>
      <c r="I1927" t="n">
        <v>0.3870581336242238</v>
      </c>
      <c r="J1927" t="n">
        <v>0.0209412055590468</v>
      </c>
      <c r="K1927" t="n">
        <v>0.4858366008552666</v>
      </c>
      <c r="L1927" t="b">
        <v>0</v>
      </c>
      <c r="M1927" t="b">
        <v>0</v>
      </c>
      <c r="N1927" t="inlineStr">
        <is>
          <t>alt</t>
        </is>
      </c>
      <c r="O1927" t="n">
        <v>60</v>
      </c>
      <c r="P1927" t="n">
        <v>0.00963</v>
      </c>
      <c r="Q1927" t="n">
        <v>70</v>
      </c>
      <c r="R1927" t="n">
        <v>0.0608</v>
      </c>
      <c r="S1927">
        <f>IMAGE("https://mitra.stanford.edu/kundaje/oak/projects/neuro-variants/variant_position/credible/roussos_2024/variant_figures/roussos_2024.childhood.GLU/rs79926379_count_position.png",4,220,900)</f>
        <v/>
      </c>
      <c r="T1927">
        <f>IMAGE("https://mitra.stanford.edu/kundaje/oak/projects/neuro-variants/variant_position/credible/roussos_2024/variant_figures/roussos_2024.childhood.GLU/rs79926379_profile_position.png",4,220,900)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0.1251011238</v>
      </c>
      <c r="G1928" t="n">
        <v>0.0314665250333278</v>
      </c>
      <c r="H1928" t="n">
        <v>0.0236733170707038</v>
      </c>
      <c r="I1928" t="n">
        <v>0.0606772108371413</v>
      </c>
      <c r="J1928" t="n">
        <v>0.0064027939464493</v>
      </c>
      <c r="K1928" t="n">
        <v>0.6463477167518541</v>
      </c>
      <c r="L1928" t="b">
        <v>0</v>
      </c>
      <c r="M1928" t="b">
        <v>0</v>
      </c>
      <c r="N1928" t="inlineStr">
        <is>
          <t>alt</t>
        </is>
      </c>
      <c r="O1928" t="n">
        <v>-60</v>
      </c>
      <c r="P1928" t="n">
        <v>0.007248</v>
      </c>
      <c r="Q1928" t="n">
        <v>-50</v>
      </c>
      <c r="R1928" t="n">
        <v>0.049</v>
      </c>
      <c r="S1928">
        <f>IMAGE("https://mitra.stanford.edu/kundaje/oak/projects/neuro-variants/variant_position/credible/roussos_2024/variant_figures/roussos_2024.childhood.GLU/rs77355441_count_position.png",4,220,900)</f>
        <v/>
      </c>
      <c r="T1928">
        <f>IMAGE("https://mitra.stanford.edu/kundaje/oak/projects/neuro-variants/variant_position/credible/roussos_2024/variant_figures/roussos_2024.childhood.GLU/rs77355441_profile_position.png",4,220,900)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0.014983030816</v>
      </c>
      <c r="G1929" t="n">
        <v>0.56268768581261</v>
      </c>
      <c r="H1929" t="n">
        <v>0.023364208860686</v>
      </c>
      <c r="I1929" t="n">
        <v>0.0559499150190186</v>
      </c>
      <c r="J1929" t="n">
        <v>0.0122832682580073</v>
      </c>
      <c r="K1929" t="n">
        <v>0.5560649183398613</v>
      </c>
      <c r="L1929" t="b">
        <v>0</v>
      </c>
      <c r="M1929" t="b">
        <v>0</v>
      </c>
      <c r="N1929" t="inlineStr">
        <is>
          <t>alt</t>
        </is>
      </c>
      <c r="O1929" t="n">
        <v>75</v>
      </c>
      <c r="P1929" t="n">
        <v>0.0033</v>
      </c>
      <c r="Q1929" t="n">
        <v>-40</v>
      </c>
      <c r="R1929" t="n">
        <v>0.03372</v>
      </c>
      <c r="S1929">
        <f>IMAGE("https://mitra.stanford.edu/kundaje/oak/projects/neuro-variants/variant_position/credible/roussos_2024/variant_figures/roussos_2024.childhood.GLU/rs78322266_count_position.png",4,220,900)</f>
        <v/>
      </c>
      <c r="T1929">
        <f>IMAGE("https://mitra.stanford.edu/kundaje/oak/projects/neuro-variants/variant_position/credible/roussos_2024/variant_figures/roussos_2024.childhood.GLU/rs78322266_profile_position.png",4,220,900)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-0.22763403</v>
      </c>
      <c r="G1930" t="n">
        <v>0.0054819905254364</v>
      </c>
      <c r="H1930" t="n">
        <v>0.0462258048984492</v>
      </c>
      <c r="I1930" t="n">
        <v>0.0040349945944074</v>
      </c>
      <c r="J1930" t="n">
        <v>0.0959615523298339</v>
      </c>
      <c r="K1930" t="n">
        <v>0.2644160839694922</v>
      </c>
      <c r="L1930" t="b">
        <v>1</v>
      </c>
      <c r="M1930" t="b">
        <v>1</v>
      </c>
      <c r="N1930" t="inlineStr">
        <is>
          <t>ref</t>
        </is>
      </c>
      <c r="O1930" t="n">
        <v>-100</v>
      </c>
      <c r="P1930" t="n">
        <v>0.004135</v>
      </c>
      <c r="Q1930" t="n">
        <v>-100</v>
      </c>
      <c r="R1930" t="n">
        <v>0.01245</v>
      </c>
      <c r="S1930">
        <f>IMAGE("https://mitra.stanford.edu/kundaje/oak/projects/neuro-variants/variant_position/credible/roussos_2024/variant_figures/roussos_2024.childhood.GLU/rs17594721_count_position.png",4,220,900)</f>
        <v/>
      </c>
      <c r="T1930">
        <f>IMAGE("https://mitra.stanford.edu/kundaje/oak/projects/neuro-variants/variant_position/credible/roussos_2024/variant_figures/roussos_2024.childhood.GLU/rs17594721_profile_position.png",4,220,900)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-0.192327198</v>
      </c>
      <c r="G1931" t="n">
        <v>0.0095310865802975</v>
      </c>
      <c r="H1931" t="n">
        <v>0.0384389232156245</v>
      </c>
      <c r="I1931" t="n">
        <v>0.008208276880838699</v>
      </c>
      <c r="J1931" t="n">
        <v>0.2791370908753747</v>
      </c>
      <c r="K1931" t="n">
        <v>0.107692597050242</v>
      </c>
      <c r="L1931" t="b">
        <v>1</v>
      </c>
      <c r="M1931" t="b">
        <v>1</v>
      </c>
      <c r="N1931" t="inlineStr">
        <is>
          <t>ref</t>
        </is>
      </c>
      <c r="O1931" t="n">
        <v>-100</v>
      </c>
      <c r="P1931" t="n">
        <v>0.01033</v>
      </c>
      <c r="Q1931" t="n">
        <v>-100</v>
      </c>
      <c r="R1931" t="n">
        <v>0.0718</v>
      </c>
      <c r="S1931">
        <f>IMAGE("https://mitra.stanford.edu/kundaje/oak/projects/neuro-variants/variant_position/credible/roussos_2024/variant_figures/roussos_2024.childhood.GLU/rs1371833_count_position.png",4,220,900)</f>
        <v/>
      </c>
      <c r="T1931">
        <f>IMAGE("https://mitra.stanford.edu/kundaje/oak/projects/neuro-variants/variant_position/credible/roussos_2024/variant_figures/roussos_2024.childhood.GLU/rs1371833_profile_position.png",4,220,900)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0.1689459699999999</v>
      </c>
      <c r="G1932" t="n">
        <v>0.0134502325018027</v>
      </c>
      <c r="H1932" t="n">
        <v>0.0231803649791962</v>
      </c>
      <c r="I1932" t="n">
        <v>0.06868082802535259</v>
      </c>
      <c r="J1932" t="n">
        <v>0.0443003286389812</v>
      </c>
      <c r="K1932" t="n">
        <v>0.374397447700286</v>
      </c>
      <c r="L1932" t="b">
        <v>1</v>
      </c>
      <c r="M1932" t="b">
        <v>0</v>
      </c>
      <c r="N1932" t="inlineStr">
        <is>
          <t>alt</t>
        </is>
      </c>
      <c r="O1932" t="n">
        <v>-65</v>
      </c>
      <c r="P1932" t="n">
        <v>0.01178</v>
      </c>
      <c r="Q1932" t="n">
        <v>-65</v>
      </c>
      <c r="R1932" t="n">
        <v>0.2383</v>
      </c>
      <c r="S1932">
        <f>IMAGE("https://mitra.stanford.edu/kundaje/oak/projects/neuro-variants/variant_position/credible/roussos_2024/variant_figures/roussos_2024.childhood.GLU/rs73477275_count_position.png",4,220,900)</f>
        <v/>
      </c>
      <c r="T1932">
        <f>IMAGE("https://mitra.stanford.edu/kundaje/oak/projects/neuro-variants/variant_position/credible/roussos_2024/variant_figures/roussos_2024.childhood.GLU/rs73477275_profile_position.png",4,220,900)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0.0785678019999999</v>
      </c>
      <c r="G1933" t="n">
        <v>0.07972691837011391</v>
      </c>
      <c r="H1933" t="n">
        <v>0.0120469881860396</v>
      </c>
      <c r="I1933" t="n">
        <v>0.4560134931021832</v>
      </c>
      <c r="J1933" t="n">
        <v>0.0295569039941482</v>
      </c>
      <c r="K1933" t="n">
        <v>0.4397990877781444</v>
      </c>
      <c r="L1933" t="b">
        <v>0</v>
      </c>
      <c r="M1933" t="b">
        <v>0</v>
      </c>
      <c r="N1933" t="inlineStr">
        <is>
          <t>alt</t>
        </is>
      </c>
      <c r="O1933" t="n">
        <v>100</v>
      </c>
      <c r="P1933" t="n">
        <v>0.01006</v>
      </c>
      <c r="Q1933" t="n">
        <v>100</v>
      </c>
      <c r="R1933" t="n">
        <v>0.1107</v>
      </c>
      <c r="S1933">
        <f>IMAGE("https://mitra.stanford.edu/kundaje/oak/projects/neuro-variants/variant_position/credible/roussos_2024/variant_figures/roussos_2024.childhood.GLU/rs140282719_count_position.png",4,220,900)</f>
        <v/>
      </c>
      <c r="T1933">
        <f>IMAGE("https://mitra.stanford.edu/kundaje/oak/projects/neuro-variants/variant_position/credible/roussos_2024/variant_figures/roussos_2024.childhood.GLU/rs140282719_profile_position.png",4,220,900)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-0.01255075806</v>
      </c>
      <c r="G1934" t="n">
        <v>0.6204165841539852</v>
      </c>
      <c r="H1934" t="n">
        <v>0.009674373760777099</v>
      </c>
      <c r="I1934" t="n">
        <v>0.6754582333388007</v>
      </c>
      <c r="J1934" t="n">
        <v>0.0012939516004408</v>
      </c>
      <c r="K1934" t="n">
        <v>0.8025254127837803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0.0116</v>
      </c>
      <c r="Q1934" t="n">
        <v>-25</v>
      </c>
      <c r="R1934" t="n">
        <v>0.064</v>
      </c>
      <c r="S1934">
        <f>IMAGE("https://mitra.stanford.edu/kundaje/oak/projects/neuro-variants/variant_position/credible/roussos_2024/variant_figures/roussos_2024.childhood.GLU/rs78431385_count_position.png",4,220,900)</f>
        <v/>
      </c>
      <c r="T1934">
        <f>IMAGE("https://mitra.stanford.edu/kundaje/oak/projects/neuro-variants/variant_position/credible/roussos_2024/variant_figures/roussos_2024.childhood.GLU/rs78431385_profile_position.png",4,220,900)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0.001725956268</v>
      </c>
      <c r="G1935" t="n">
        <v>0.9154491583790318</v>
      </c>
      <c r="H1935" t="n">
        <v>0.0202353265369812</v>
      </c>
      <c r="I1935" t="n">
        <v>0.09348675928319081</v>
      </c>
      <c r="J1935" t="n">
        <v>0.0322622518466625</v>
      </c>
      <c r="K1935" t="n">
        <v>0.4235269202418166</v>
      </c>
      <c r="L1935" t="b">
        <v>0</v>
      </c>
      <c r="M1935" t="b">
        <v>0</v>
      </c>
      <c r="N1935" t="inlineStr">
        <is>
          <t>alt</t>
        </is>
      </c>
      <c r="O1935" t="n">
        <v>-60</v>
      </c>
      <c r="P1935" t="n">
        <v>0.00592</v>
      </c>
      <c r="Q1935" t="n">
        <v>75</v>
      </c>
      <c r="R1935" t="n">
        <v>0.2194</v>
      </c>
      <c r="S1935">
        <f>IMAGE("https://mitra.stanford.edu/kundaje/oak/projects/neuro-variants/variant_position/credible/roussos_2024/variant_figures/roussos_2024.childhood.GLU/rs184174206_count_position.png",4,220,900)</f>
        <v/>
      </c>
      <c r="T1935">
        <f>IMAGE("https://mitra.stanford.edu/kundaje/oak/projects/neuro-variants/variant_position/credible/roussos_2024/variant_figures/roussos_2024.childhood.GLU/rs184174206_profile_position.png",4,220,900)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0.0012765108799999</v>
      </c>
      <c r="G1936" t="n">
        <v>0.6970671459856203</v>
      </c>
      <c r="H1936" t="n">
        <v>0.0126333914799262</v>
      </c>
      <c r="I1936" t="n">
        <v>0.4012327106348106</v>
      </c>
      <c r="J1936" t="n">
        <v>0.0144972029629018</v>
      </c>
      <c r="K1936" t="n">
        <v>0.5534608598119279</v>
      </c>
      <c r="L1936" t="b">
        <v>0</v>
      </c>
      <c r="M1936" t="b">
        <v>0</v>
      </c>
      <c r="N1936" t="inlineStr">
        <is>
          <t>alt</t>
        </is>
      </c>
      <c r="O1936" t="n">
        <v>100</v>
      </c>
      <c r="P1936" t="n">
        <v>0.002722</v>
      </c>
      <c r="Q1936" t="n">
        <v>-30</v>
      </c>
      <c r="R1936" t="n">
        <v>0.02509</v>
      </c>
      <c r="S1936">
        <f>IMAGE("https://mitra.stanford.edu/kundaje/oak/projects/neuro-variants/variant_position/credible/roussos_2024/variant_figures/roussos_2024.childhood.GLU/rs813043_count_position.png",4,220,900)</f>
        <v/>
      </c>
      <c r="T1936">
        <f>IMAGE("https://mitra.stanford.edu/kundaje/oak/projects/neuro-variants/variant_position/credible/roussos_2024/variant_figures/roussos_2024.childhood.GLU/rs813043_profile_position.png",4,220,900)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-0.010051349594</v>
      </c>
      <c r="G1937" t="n">
        <v>0.6677628335999132</v>
      </c>
      <c r="H1937" t="n">
        <v>0.0169128074787595</v>
      </c>
      <c r="I1937" t="n">
        <v>0.1722087039342552</v>
      </c>
      <c r="J1937" t="n">
        <v>0.0138728919200139</v>
      </c>
      <c r="K1937" t="n">
        <v>0.5621252507710477</v>
      </c>
      <c r="L1937" t="b">
        <v>0</v>
      </c>
      <c r="M1937" t="b">
        <v>0</v>
      </c>
      <c r="N1937" t="inlineStr">
        <is>
          <t>ref</t>
        </is>
      </c>
      <c r="O1937" t="n">
        <v>-70</v>
      </c>
      <c r="P1937" t="n">
        <v>0.002174</v>
      </c>
      <c r="Q1937" t="n">
        <v>80</v>
      </c>
      <c r="R1937" t="n">
        <v>0.010254</v>
      </c>
      <c r="S1937">
        <f>IMAGE("https://mitra.stanford.edu/kundaje/oak/projects/neuro-variants/variant_position/credible/roussos_2024/variant_figures/roussos_2024.childhood.GLU/rs17527878_count_position.png",4,220,900)</f>
        <v/>
      </c>
      <c r="T1937">
        <f>IMAGE("https://mitra.stanford.edu/kundaje/oak/projects/neuro-variants/variant_position/credible/roussos_2024/variant_figures/roussos_2024.childhood.GLU/rs17527878_profile_position.png",4,220,900)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-0.0460571295999999</v>
      </c>
      <c r="G1938" t="n">
        <v>0.2261774770442708</v>
      </c>
      <c r="H1938" t="n">
        <v>0.0279293078063994</v>
      </c>
      <c r="I1938" t="n">
        <v>0.0286223906391033</v>
      </c>
      <c r="J1938" t="n">
        <v>0.1683960563322241</v>
      </c>
      <c r="K1938" t="n">
        <v>0.1728613033624714</v>
      </c>
      <c r="L1938" t="b">
        <v>0</v>
      </c>
      <c r="M1938" t="b">
        <v>0</v>
      </c>
      <c r="N1938" t="inlineStr">
        <is>
          <t>ref</t>
        </is>
      </c>
      <c r="O1938" t="n">
        <v>30</v>
      </c>
      <c r="P1938" t="n">
        <v>0.00714</v>
      </c>
      <c r="Q1938" t="n">
        <v>45</v>
      </c>
      <c r="R1938" t="n">
        <v>0.10474</v>
      </c>
      <c r="S1938">
        <f>IMAGE("https://mitra.stanford.edu/kundaje/oak/projects/neuro-variants/variant_position/credible/roussos_2024/variant_figures/roussos_2024.childhood.GLU/rs77882218_count_position.png",4,220,900)</f>
        <v/>
      </c>
      <c r="T1938">
        <f>IMAGE("https://mitra.stanford.edu/kundaje/oak/projects/neuro-variants/variant_position/credible/roussos_2024/variant_figures/roussos_2024.childhood.GLU/rs77882218_profile_position.png",4,220,900)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0.0365184306</v>
      </c>
      <c r="G1939" t="n">
        <v>0.2662984468625487</v>
      </c>
      <c r="H1939" t="n">
        <v>0.0102614532616891</v>
      </c>
      <c r="I1939" t="n">
        <v>0.6279589554751402</v>
      </c>
      <c r="J1939" t="n">
        <v>0.0041940103227667</v>
      </c>
      <c r="K1939" t="n">
        <v>0.7013981769397529</v>
      </c>
      <c r="L1939" t="b">
        <v>0</v>
      </c>
      <c r="M1939" t="b">
        <v>0</v>
      </c>
      <c r="N1939" t="inlineStr">
        <is>
          <t>alt</t>
        </is>
      </c>
      <c r="O1939" t="n">
        <v>-100</v>
      </c>
      <c r="P1939" t="n">
        <v>0.03534</v>
      </c>
      <c r="Q1939" t="n">
        <v>60</v>
      </c>
      <c r="R1939" t="n">
        <v>0.01942</v>
      </c>
      <c r="S1939">
        <f>IMAGE("https://mitra.stanford.edu/kundaje/oak/projects/neuro-variants/variant_position/credible/roussos_2024/variant_figures/roussos_2024.childhood.GLU/rs72932579_count_position.png",4,220,900)</f>
        <v/>
      </c>
      <c r="T1939">
        <f>IMAGE("https://mitra.stanford.edu/kundaje/oak/projects/neuro-variants/variant_position/credible/roussos_2024/variant_figures/roussos_2024.childhood.GLU/rs72932579_profile_position.png",4,220,900)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0.0754605288</v>
      </c>
      <c r="G1940" t="n">
        <v>0.08667724502556801</v>
      </c>
      <c r="H1940" t="n">
        <v>0.0391536563063382</v>
      </c>
      <c r="I1940" t="n">
        <v>0.0071085211794301</v>
      </c>
      <c r="J1940" t="n">
        <v>0.09580805010971789</v>
      </c>
      <c r="K1940" t="n">
        <v>0.2534140621932456</v>
      </c>
      <c r="L1940" t="b">
        <v>1</v>
      </c>
      <c r="M1940" t="b">
        <v>1</v>
      </c>
      <c r="N1940" t="inlineStr">
        <is>
          <t>alt</t>
        </is>
      </c>
      <c r="O1940" t="n">
        <v>-70</v>
      </c>
      <c r="P1940" t="n">
        <v>0.00809</v>
      </c>
      <c r="Q1940" t="n">
        <v>55</v>
      </c>
      <c r="R1940" t="n">
        <v>0.07166</v>
      </c>
      <c r="S1940">
        <f>IMAGE("https://mitra.stanford.edu/kundaje/oak/projects/neuro-variants/variant_position/credible/roussos_2024/variant_figures/roussos_2024.childhood.GLU/rs75882620_count_position.png",4,220,900)</f>
        <v/>
      </c>
      <c r="T1940">
        <f>IMAGE("https://mitra.stanford.edu/kundaje/oak/projects/neuro-variants/variant_position/credible/roussos_2024/variant_figures/roussos_2024.childhood.GLU/rs75882620_profile_position.png",4,220,900)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-0.0234916974</v>
      </c>
      <c r="G1941" t="n">
        <v>0.4156875470911588</v>
      </c>
      <c r="H1941" t="n">
        <v>0.0110715015231185</v>
      </c>
      <c r="I1941" t="n">
        <v>0.5481437939743363</v>
      </c>
      <c r="J1941" t="n">
        <v>5.254102836183833e-05</v>
      </c>
      <c r="K1941" t="n">
        <v>0.9654684305976794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0.00581</v>
      </c>
      <c r="Q1941" t="n">
        <v>-70</v>
      </c>
      <c r="R1941" t="n">
        <v>0.05676</v>
      </c>
      <c r="S1941">
        <f>IMAGE("https://mitra.stanford.edu/kundaje/oak/projects/neuro-variants/variant_position/credible/roussos_2024/variant_figures/roussos_2024.childhood.GLU/rs148652326_count_position.png",4,220,900)</f>
        <v/>
      </c>
      <c r="T1941">
        <f>IMAGE("https://mitra.stanford.edu/kundaje/oak/projects/neuro-variants/variant_position/credible/roussos_2024/variant_figures/roussos_2024.childhood.GLU/rs148652326_profile_position.png",4,220,900)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-0.050185972</v>
      </c>
      <c r="G1942" t="n">
        <v>0.1812468574923845</v>
      </c>
      <c r="H1942" t="n">
        <v>0.009801362638096099</v>
      </c>
      <c r="I1942" t="n">
        <v>0.6703334391677657</v>
      </c>
      <c r="J1942" t="n">
        <v>0.0359895742116269</v>
      </c>
      <c r="K1942" t="n">
        <v>0.4113620490905753</v>
      </c>
      <c r="L1942" t="b">
        <v>0</v>
      </c>
      <c r="M1942" t="b">
        <v>0</v>
      </c>
      <c r="N1942" t="inlineStr">
        <is>
          <t>ref</t>
        </is>
      </c>
      <c r="O1942" t="n">
        <v>-100</v>
      </c>
      <c r="P1942" t="n">
        <v>0.01557</v>
      </c>
      <c r="Q1942" t="n">
        <v>50</v>
      </c>
      <c r="R1942" t="n">
        <v>0.003052</v>
      </c>
      <c r="S1942">
        <f>IMAGE("https://mitra.stanford.edu/kundaje/oak/projects/neuro-variants/variant_position/credible/roussos_2024/variant_figures/roussos_2024.childhood.GLU/rs17602354_count_position.png",4,220,900)</f>
        <v/>
      </c>
      <c r="T1942">
        <f>IMAGE("https://mitra.stanford.edu/kundaje/oak/projects/neuro-variants/variant_position/credible/roussos_2024/variant_figures/roussos_2024.childhood.GLU/rs17602354_profile_position.png",4,220,900)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-0.0102218229</v>
      </c>
      <c r="G1943" t="n">
        <v>0.6501514486256253</v>
      </c>
      <c r="H1943" t="n">
        <v>0.0138665623475697</v>
      </c>
      <c r="I1943" t="n">
        <v>0.3104344286387748</v>
      </c>
      <c r="J1943" t="n">
        <v>0.0053746381365448</v>
      </c>
      <c r="K1943" t="n">
        <v>0.672481149071755</v>
      </c>
      <c r="L1943" t="b">
        <v>0</v>
      </c>
      <c r="M1943" t="b">
        <v>0</v>
      </c>
      <c r="N1943" t="inlineStr">
        <is>
          <t>ref</t>
        </is>
      </c>
      <c r="O1943" t="n">
        <v>-25</v>
      </c>
      <c r="P1943" t="n">
        <v>0.003464</v>
      </c>
      <c r="Q1943" t="n">
        <v>-65</v>
      </c>
      <c r="R1943" t="n">
        <v>0.0388</v>
      </c>
      <c r="S1943">
        <f>IMAGE("https://mitra.stanford.edu/kundaje/oak/projects/neuro-variants/variant_position/credible/roussos_2024/variant_figures/roussos_2024.childhood.GLU/rs61576172_count_position.png",4,220,900)</f>
        <v/>
      </c>
      <c r="T1943">
        <f>IMAGE("https://mitra.stanford.edu/kundaje/oak/projects/neuro-variants/variant_position/credible/roussos_2024/variant_figures/roussos_2024.childhood.GLU/rs61576172_profile_position.png",4,220,900)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-0.2111107179999999</v>
      </c>
      <c r="G1944" t="n">
        <v>0.006431789736607</v>
      </c>
      <c r="H1944" t="n">
        <v>0.0346493797033002</v>
      </c>
      <c r="I1944" t="n">
        <v>0.0118405790538453</v>
      </c>
      <c r="J1944" t="n">
        <v>0.3964673885048472</v>
      </c>
      <c r="K1944" t="n">
        <v>0.065588716738272</v>
      </c>
      <c r="L1944" t="b">
        <v>1</v>
      </c>
      <c r="M1944" t="b">
        <v>1</v>
      </c>
      <c r="N1944" t="inlineStr">
        <is>
          <t>ref</t>
        </is>
      </c>
      <c r="O1944" t="n">
        <v>80</v>
      </c>
      <c r="P1944" t="n">
        <v>0.012726</v>
      </c>
      <c r="Q1944" t="n">
        <v>80</v>
      </c>
      <c r="R1944" t="n">
        <v>0.166</v>
      </c>
      <c r="S1944">
        <f>IMAGE("https://mitra.stanford.edu/kundaje/oak/projects/neuro-variants/variant_position/credible/roussos_2024/variant_figures/roussos_2024.childhood.GLU/rs118115105_count_position.png",4,220,900)</f>
        <v/>
      </c>
      <c r="T1944">
        <f>IMAGE("https://mitra.stanford.edu/kundaje/oak/projects/neuro-variants/variant_position/credible/roussos_2024/variant_figures/roussos_2024.childhood.GLU/rs118115105_profile_position.png",4,220,900)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-0.1112213219999999</v>
      </c>
      <c r="G1945" t="n">
        <v>0.0378701821903715</v>
      </c>
      <c r="H1945" t="n">
        <v>0.0195861303973845</v>
      </c>
      <c r="I1945" t="n">
        <v>0.1104272550018224</v>
      </c>
      <c r="J1945" t="n">
        <v>0.0721017441560983</v>
      </c>
      <c r="K1945" t="n">
        <v>0.2953863478334794</v>
      </c>
      <c r="L1945" t="b">
        <v>0</v>
      </c>
      <c r="M1945" t="b">
        <v>0</v>
      </c>
      <c r="N1945" t="inlineStr">
        <is>
          <t>ref</t>
        </is>
      </c>
      <c r="O1945" t="n">
        <v>45</v>
      </c>
      <c r="P1945" t="n">
        <v>0.01611</v>
      </c>
      <c r="Q1945" t="n">
        <v>80</v>
      </c>
      <c r="R1945" t="n">
        <v>0.1348</v>
      </c>
      <c r="S1945">
        <f>IMAGE("https://mitra.stanford.edu/kundaje/oak/projects/neuro-variants/variant_position/credible/roussos_2024/variant_figures/roussos_2024.childhood.GLU/rs56062547_count_position.png",4,220,900)</f>
        <v/>
      </c>
      <c r="T1945">
        <f>IMAGE("https://mitra.stanford.edu/kundaje/oak/projects/neuro-variants/variant_position/credible/roussos_2024/variant_figures/roussos_2024.childhood.GLU/rs56062547_profile_position.png",4,220,900)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0.0460299248</v>
      </c>
      <c r="G1946" t="n">
        <v>0.1960828080303474</v>
      </c>
      <c r="H1946" t="n">
        <v>0.0194214397146734</v>
      </c>
      <c r="I1946" t="n">
        <v>0.1105337796532845</v>
      </c>
      <c r="J1946" t="n">
        <v>0.0076627484108913</v>
      </c>
      <c r="K1946" t="n">
        <v>0.6303241424245167</v>
      </c>
      <c r="L1946" t="b">
        <v>0</v>
      </c>
      <c r="M1946" t="b">
        <v>0</v>
      </c>
      <c r="N1946" t="inlineStr">
        <is>
          <t>alt</t>
        </is>
      </c>
      <c r="O1946" t="n">
        <v>100</v>
      </c>
      <c r="P1946" t="n">
        <v>0.0467</v>
      </c>
      <c r="Q1946" t="n">
        <v>100</v>
      </c>
      <c r="R1946" t="n">
        <v>0.1816</v>
      </c>
      <c r="S1946">
        <f>IMAGE("https://mitra.stanford.edu/kundaje/oak/projects/neuro-variants/variant_position/credible/roussos_2024/variant_figures/roussos_2024.childhood.GLU/rs1424401_count_position.png",4,220,900)</f>
        <v/>
      </c>
      <c r="T1946">
        <f>IMAGE("https://mitra.stanford.edu/kundaje/oak/projects/neuro-variants/variant_position/credible/roussos_2024/variant_figures/roussos_2024.childhood.GLU/rs1424401_profile_position.png",4,220,900)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0.0190588814</v>
      </c>
      <c r="G1947" t="n">
        <v>0.4113151104720416</v>
      </c>
      <c r="H1947" t="n">
        <v>0.0131618140970829</v>
      </c>
      <c r="I1947" t="n">
        <v>0.3591041483916719</v>
      </c>
      <c r="J1947" t="n">
        <v>0.1399744506371886</v>
      </c>
      <c r="K1947" t="n">
        <v>0.1971015424251182</v>
      </c>
      <c r="L1947" t="b">
        <v>0</v>
      </c>
      <c r="M1947" t="b">
        <v>0</v>
      </c>
      <c r="N1947" t="inlineStr">
        <is>
          <t>alt</t>
        </is>
      </c>
      <c r="O1947" t="n">
        <v>-25</v>
      </c>
      <c r="P1947" t="n">
        <v>0.004852</v>
      </c>
      <c r="Q1947" t="n">
        <v>95</v>
      </c>
      <c r="R1947" t="n">
        <v>0.156</v>
      </c>
      <c r="S1947">
        <f>IMAGE("https://mitra.stanford.edu/kundaje/oak/projects/neuro-variants/variant_position/credible/roussos_2024/variant_figures/roussos_2024.childhood.GLU/rs2902193_count_position.png",4,220,900)</f>
        <v/>
      </c>
      <c r="T1947">
        <f>IMAGE("https://mitra.stanford.edu/kundaje/oak/projects/neuro-variants/variant_position/credible/roussos_2024/variant_figures/roussos_2024.childhood.GLU/rs2902193_profile_position.png",4,220,900)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-0.197372224</v>
      </c>
      <c r="G1948" t="n">
        <v>0.008439850142004801</v>
      </c>
      <c r="H1948" t="n">
        <v>0.0253213219055531</v>
      </c>
      <c r="I1948" t="n">
        <v>0.0434621196356723</v>
      </c>
      <c r="J1948" t="n">
        <v>0.4431918159621705</v>
      </c>
      <c r="K1948" t="n">
        <v>0.0543159421945668</v>
      </c>
      <c r="L1948" t="b">
        <v>1</v>
      </c>
      <c r="M1948" t="b">
        <v>1</v>
      </c>
      <c r="N1948" t="inlineStr">
        <is>
          <t>ref</t>
        </is>
      </c>
      <c r="O1948" t="n">
        <v>20</v>
      </c>
      <c r="P1948" t="n">
        <v>0.001465</v>
      </c>
      <c r="Q1948" t="n">
        <v>-35</v>
      </c>
      <c r="R1948" t="n">
        <v>0.03906</v>
      </c>
      <c r="S1948">
        <f>IMAGE("https://mitra.stanford.edu/kundaje/oak/projects/neuro-variants/variant_position/credible/roussos_2024/variant_figures/roussos_2024.childhood.GLU/rs10164243_count_position.png",4,220,900)</f>
        <v/>
      </c>
      <c r="T1948">
        <f>IMAGE("https://mitra.stanford.edu/kundaje/oak/projects/neuro-variants/variant_position/credible/roussos_2024/variant_figures/roussos_2024.childhood.GLU/rs10164243_profile_position.png",4,220,900)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0.291066552</v>
      </c>
      <c r="G1949" t="n">
        <v>0.0022868242967371</v>
      </c>
      <c r="H1949" t="n">
        <v>0.0651356622198052</v>
      </c>
      <c r="I1949" t="n">
        <v>0.0010166131618965</v>
      </c>
      <c r="J1949" t="n">
        <v>0.4670485334871789</v>
      </c>
      <c r="K1949" t="n">
        <v>0.0490024006784318</v>
      </c>
      <c r="L1949" t="b">
        <v>1</v>
      </c>
      <c r="M1949" t="b">
        <v>1</v>
      </c>
      <c r="N1949" t="inlineStr">
        <is>
          <t>alt</t>
        </is>
      </c>
      <c r="O1949" t="n">
        <v>-85</v>
      </c>
      <c r="P1949" t="n">
        <v>0.007934999999999999</v>
      </c>
      <c r="Q1949" t="n">
        <v>60</v>
      </c>
      <c r="R1949" t="n">
        <v>0.1433</v>
      </c>
      <c r="S1949">
        <f>IMAGE("https://mitra.stanford.edu/kundaje/oak/projects/neuro-variants/variant_position/credible/roussos_2024/variant_figures/roussos_2024.childhood.GLU/rs1862920_count_position.png",4,220,900)</f>
        <v/>
      </c>
      <c r="T1949">
        <f>IMAGE("https://mitra.stanford.edu/kundaje/oak/projects/neuro-variants/variant_position/credible/roussos_2024/variant_figures/roussos_2024.childhood.GLU/rs1862920_profile_position.png",4,220,900)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-0.0054793869</v>
      </c>
      <c r="G1950" t="n">
        <v>0.7813668542553919</v>
      </c>
      <c r="H1950" t="n">
        <v>0.0260696984518091</v>
      </c>
      <c r="I1950" t="n">
        <v>0.0377402943001446</v>
      </c>
      <c r="J1950" t="n">
        <v>0.057905364335974</v>
      </c>
      <c r="K1950" t="n">
        <v>0.3260088090443434</v>
      </c>
      <c r="L1950" t="b">
        <v>0</v>
      </c>
      <c r="M1950" t="b">
        <v>0</v>
      </c>
      <c r="N1950" t="inlineStr">
        <is>
          <t>ref</t>
        </is>
      </c>
      <c r="O1950" t="n">
        <v>-100</v>
      </c>
      <c r="P1950" t="n">
        <v>0.015076</v>
      </c>
      <c r="Q1950" t="n">
        <v>-60</v>
      </c>
      <c r="R1950" t="n">
        <v>0.3071</v>
      </c>
      <c r="S1950">
        <f>IMAGE("https://mitra.stanford.edu/kundaje/oak/projects/neuro-variants/variant_position/credible/roussos_2024/variant_figures/roussos_2024.childhood.GLU/rs1789562_count_position.png",4,220,900)</f>
        <v/>
      </c>
      <c r="T1950">
        <f>IMAGE("https://mitra.stanford.edu/kundaje/oak/projects/neuro-variants/variant_position/credible/roussos_2024/variant_figures/roussos_2024.childhood.GLU/rs1789562_profile_position.png",4,220,900)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0.1281111379999999</v>
      </c>
      <c r="G1951" t="n">
        <v>0.0253286864774597</v>
      </c>
      <c r="H1951" t="n">
        <v>0.0221980189075901</v>
      </c>
      <c r="I1951" t="n">
        <v>0.0685034173496628</v>
      </c>
      <c r="J1951" t="n">
        <v>0.0675821855007365</v>
      </c>
      <c r="K1951" t="n">
        <v>0.3038749074266717</v>
      </c>
      <c r="L1951" t="b">
        <v>0</v>
      </c>
      <c r="M1951" t="b">
        <v>0</v>
      </c>
      <c r="N1951" t="inlineStr">
        <is>
          <t>alt</t>
        </is>
      </c>
      <c r="O1951" t="n">
        <v>-100</v>
      </c>
      <c r="P1951" t="n">
        <v>0.01149</v>
      </c>
      <c r="Q1951" t="n">
        <v>-60</v>
      </c>
      <c r="R1951" t="n">
        <v>0.0354</v>
      </c>
      <c r="S1951">
        <f>IMAGE("https://mitra.stanford.edu/kundaje/oak/projects/neuro-variants/variant_position/credible/roussos_2024/variant_figures/roussos_2024.childhood.GLU/rs75104423_count_position.png",4,220,900)</f>
        <v/>
      </c>
      <c r="T1951">
        <f>IMAGE("https://mitra.stanford.edu/kundaje/oak/projects/neuro-variants/variant_position/credible/roussos_2024/variant_figures/roussos_2024.childhood.GLU/rs75104423_profile_position.png",4,220,900)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0.0033935973159999</v>
      </c>
      <c r="G1952" t="n">
        <v>0.7769487125287532</v>
      </c>
      <c r="H1952" t="n">
        <v>0.0110574747650115</v>
      </c>
      <c r="I1952" t="n">
        <v>0.5482194316471946</v>
      </c>
      <c r="J1952" t="n">
        <v>0.0298144580547456</v>
      </c>
      <c r="K1952" t="n">
        <v>0.4283901411877705</v>
      </c>
      <c r="L1952" t="b">
        <v>0</v>
      </c>
      <c r="M1952" t="b">
        <v>0</v>
      </c>
      <c r="N1952" t="inlineStr">
        <is>
          <t>alt</t>
        </is>
      </c>
      <c r="O1952" t="n">
        <v>100</v>
      </c>
      <c r="P1952" t="n">
        <v>0.004646</v>
      </c>
      <c r="Q1952" t="n">
        <v>90</v>
      </c>
      <c r="R1952" t="n">
        <v>0.1073</v>
      </c>
      <c r="S1952">
        <f>IMAGE("https://mitra.stanford.edu/kundaje/oak/projects/neuro-variants/variant_position/credible/roussos_2024/variant_figures/roussos_2024.childhood.GLU/rs62091470_count_position.png",4,220,900)</f>
        <v/>
      </c>
      <c r="T1952">
        <f>IMAGE("https://mitra.stanford.edu/kundaje/oak/projects/neuro-variants/variant_position/credible/roussos_2024/variant_figures/roussos_2024.childhood.GLU/rs62091470_profile_position.png",4,220,900)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-0.090119966</v>
      </c>
      <c r="G1953" t="n">
        <v>0.0624348229609887</v>
      </c>
      <c r="H1953" t="n">
        <v>0.0144524890671759</v>
      </c>
      <c r="I1953" t="n">
        <v>0.27562247227846</v>
      </c>
      <c r="J1953" t="n">
        <v>0.0258069168718513</v>
      </c>
      <c r="K1953" t="n">
        <v>0.4500593451071372</v>
      </c>
      <c r="L1953" t="b">
        <v>0</v>
      </c>
      <c r="M1953" t="b">
        <v>0</v>
      </c>
      <c r="N1953" t="inlineStr">
        <is>
          <t>ref</t>
        </is>
      </c>
      <c r="O1953" t="n">
        <v>100</v>
      </c>
      <c r="P1953" t="n">
        <v>0.00663</v>
      </c>
      <c r="Q1953" t="n">
        <v>95</v>
      </c>
      <c r="R1953" t="n">
        <v>0.0457</v>
      </c>
      <c r="S1953">
        <f>IMAGE("https://mitra.stanford.edu/kundaje/oak/projects/neuro-variants/variant_position/credible/roussos_2024/variant_figures/roussos_2024.childhood.GLU/rs62091471_count_position.png",4,220,900)</f>
        <v/>
      </c>
      <c r="T1953">
        <f>IMAGE("https://mitra.stanford.edu/kundaje/oak/projects/neuro-variants/variant_position/credible/roussos_2024/variant_figures/roussos_2024.childhood.GLU/rs62091471_profile_position.png",4,220,900)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0.0215723484</v>
      </c>
      <c r="G1954" t="n">
        <v>0.4348363261381396</v>
      </c>
      <c r="H1954" t="n">
        <v>0.0144201393204321</v>
      </c>
      <c r="I1954" t="n">
        <v>0.2778765849897371</v>
      </c>
      <c r="J1954" t="n">
        <v>0.1117176795409356</v>
      </c>
      <c r="K1954" t="n">
        <v>0.227515217352047</v>
      </c>
      <c r="L1954" t="b">
        <v>0</v>
      </c>
      <c r="M1954" t="b">
        <v>0</v>
      </c>
      <c r="N1954" t="inlineStr">
        <is>
          <t>alt</t>
        </is>
      </c>
      <c r="O1954" t="n">
        <v>-100</v>
      </c>
      <c r="P1954" t="n">
        <v>0.006653</v>
      </c>
      <c r="Q1954" t="n">
        <v>-90</v>
      </c>
      <c r="R1954" t="n">
        <v>0.1669</v>
      </c>
      <c r="S1954">
        <f>IMAGE("https://mitra.stanford.edu/kundaje/oak/projects/neuro-variants/variant_position/credible/roussos_2024/variant_figures/roussos_2024.childhood.GLU/rs1808094_count_position.png",4,220,900)</f>
        <v/>
      </c>
      <c r="T1954">
        <f>IMAGE("https://mitra.stanford.edu/kundaje/oak/projects/neuro-variants/variant_position/credible/roussos_2024/variant_figures/roussos_2024.childhood.GLU/rs1808094_profile_position.png",4,220,900)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-0.0466684564</v>
      </c>
      <c r="G1955" t="n">
        <v>0.1964391606236349</v>
      </c>
      <c r="H1955" t="n">
        <v>0.0411709077552537</v>
      </c>
      <c r="I1955" t="n">
        <v>0.0057640233074296</v>
      </c>
      <c r="J1955" t="n">
        <v>0.0066304717360173</v>
      </c>
      <c r="K1955" t="n">
        <v>0.64069775710254</v>
      </c>
      <c r="L1955" t="b">
        <v>0</v>
      </c>
      <c r="M1955" t="b">
        <v>0</v>
      </c>
      <c r="N1955" t="inlineStr">
        <is>
          <t>ref</t>
        </is>
      </c>
      <c r="O1955" t="n">
        <v>100</v>
      </c>
      <c r="P1955" t="n">
        <v>0.005497</v>
      </c>
      <c r="Q1955" t="n">
        <v>0</v>
      </c>
      <c r="R1955" t="n">
        <v>0</v>
      </c>
      <c r="S1955">
        <f>IMAGE("https://mitra.stanford.edu/kundaje/oak/projects/neuro-variants/variant_position/credible/roussos_2024/variant_figures/roussos_2024.childhood.GLU/rs1790947_count_position.png",4,220,900)</f>
        <v/>
      </c>
      <c r="T1955">
        <f>IMAGE("https://mitra.stanford.edu/kundaje/oak/projects/neuro-variants/variant_position/credible/roussos_2024/variant_figures/roussos_2024.childhood.GLU/rs1790947_profile_position.png",4,220,900)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0.0484250396</v>
      </c>
      <c r="G1956" t="n">
        <v>0.2122547640042065</v>
      </c>
      <c r="H1956" t="n">
        <v>0.011983719714978</v>
      </c>
      <c r="I1956" t="n">
        <v>0.4579125177322645</v>
      </c>
      <c r="J1956" t="n">
        <v>0.1871490825924361</v>
      </c>
      <c r="K1956" t="n">
        <v>0.1576278411385612</v>
      </c>
      <c r="L1956" t="b">
        <v>0</v>
      </c>
      <c r="M1956" t="b">
        <v>0</v>
      </c>
      <c r="N1956" t="inlineStr">
        <is>
          <t>alt</t>
        </is>
      </c>
      <c r="O1956" t="n">
        <v>-100</v>
      </c>
      <c r="P1956" t="n">
        <v>0.010864</v>
      </c>
      <c r="Q1956" t="n">
        <v>-25</v>
      </c>
      <c r="R1956" t="n">
        <v>0.04224</v>
      </c>
      <c r="S1956">
        <f>IMAGE("https://mitra.stanford.edu/kundaje/oak/projects/neuro-variants/variant_position/credible/roussos_2024/variant_figures/roussos_2024.childhood.GLU/rs56249713_count_position.png",4,220,900)</f>
        <v/>
      </c>
      <c r="T1956">
        <f>IMAGE("https://mitra.stanford.edu/kundaje/oak/projects/neuro-variants/variant_position/credible/roussos_2024/variant_figures/roussos_2024.childhood.GLU/rs56249713_profile_position.png",4,220,900)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-0.01991041446</v>
      </c>
      <c r="G1957" t="n">
        <v>0.4906580327567421</v>
      </c>
      <c r="H1957" t="n">
        <v>0.0221297368049763</v>
      </c>
      <c r="I1957" t="n">
        <v>0.0683397382318162</v>
      </c>
      <c r="J1957" t="n">
        <v>0.0558964426633149</v>
      </c>
      <c r="K1957" t="n">
        <v>0.3358545349908257</v>
      </c>
      <c r="L1957" t="b">
        <v>0</v>
      </c>
      <c r="M1957" t="b">
        <v>0</v>
      </c>
      <c r="N1957" t="inlineStr">
        <is>
          <t>ref</t>
        </is>
      </c>
      <c r="O1957" t="n">
        <v>95</v>
      </c>
      <c r="P1957" t="n">
        <v>0.04327</v>
      </c>
      <c r="Q1957" t="n">
        <v>-85</v>
      </c>
      <c r="R1957" t="n">
        <v>0.1481</v>
      </c>
      <c r="S1957">
        <f>IMAGE("https://mitra.stanford.edu/kundaje/oak/projects/neuro-variants/variant_position/credible/roussos_2024/variant_figures/roussos_2024.childhood.GLU/rs2554138_count_position.png",4,220,900)</f>
        <v/>
      </c>
      <c r="T1957">
        <f>IMAGE("https://mitra.stanford.edu/kundaje/oak/projects/neuro-variants/variant_position/credible/roussos_2024/variant_figures/roussos_2024.childhood.GLU/rs2554138_profile_position.png",4,220,900)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-0.0926512989999999</v>
      </c>
      <c r="G1958" t="n">
        <v>0.0573125733787717</v>
      </c>
      <c r="H1958" t="n">
        <v>0.0368448102693105</v>
      </c>
      <c r="I1958" t="n">
        <v>0.0091754045128677</v>
      </c>
      <c r="J1958" t="n">
        <v>0.1503806649015628</v>
      </c>
      <c r="K1958" t="n">
        <v>0.1909569347519964</v>
      </c>
      <c r="L1958" t="b">
        <v>1</v>
      </c>
      <c r="M1958" t="b">
        <v>1</v>
      </c>
      <c r="N1958" t="inlineStr">
        <is>
          <t>ref</t>
        </is>
      </c>
      <c r="O1958" t="n">
        <v>100</v>
      </c>
      <c r="P1958" t="n">
        <v>0.02731</v>
      </c>
      <c r="Q1958" t="n">
        <v>100</v>
      </c>
      <c r="R1958" t="n">
        <v>0.2202</v>
      </c>
      <c r="S1958">
        <f>IMAGE("https://mitra.stanford.edu/kundaje/oak/projects/neuro-variants/variant_position/credible/roussos_2024/variant_figures/roussos_2024.childhood.GLU/rs2554132_count_position.png",4,220,900)</f>
        <v/>
      </c>
      <c r="T1958">
        <f>IMAGE("https://mitra.stanford.edu/kundaje/oak/projects/neuro-variants/variant_position/credible/roussos_2024/variant_figures/roussos_2024.childhood.GLU/rs2554132_profile_position.png",4,220,900)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-0.5551032499999999</v>
      </c>
      <c r="G1959" t="n">
        <v>0.0001928216796063</v>
      </c>
      <c r="H1959" t="n">
        <v>0.1251351460701292</v>
      </c>
      <c r="I1959" t="n">
        <v>0.0001133626506149</v>
      </c>
      <c r="J1959" t="n">
        <v>0.0902696075906332</v>
      </c>
      <c r="K1959" t="n">
        <v>0.274331081587335</v>
      </c>
      <c r="L1959" t="b">
        <v>1</v>
      </c>
      <c r="M1959" t="b">
        <v>1</v>
      </c>
      <c r="N1959" t="inlineStr">
        <is>
          <t>ref</t>
        </is>
      </c>
      <c r="O1959" t="n">
        <v>-90</v>
      </c>
      <c r="P1959" t="n">
        <v>0.01318</v>
      </c>
      <c r="Q1959" t="n">
        <v>-80</v>
      </c>
      <c r="R1959" t="n">
        <v>0.1465</v>
      </c>
      <c r="S1959">
        <f>IMAGE("https://mitra.stanford.edu/kundaje/oak/projects/neuro-variants/variant_position/credible/roussos_2024/variant_figures/roussos_2024.childhood.GLU/rs17055966_count_position.png",4,220,900)</f>
        <v/>
      </c>
      <c r="T1959">
        <f>IMAGE("https://mitra.stanford.edu/kundaje/oak/projects/neuro-variants/variant_position/credible/roussos_2024/variant_figures/roussos_2024.childhood.GLU/rs17055966_profile_position.png",4,220,900)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0.0354260608</v>
      </c>
      <c r="G1960" t="n">
        <v>0.2839160940642558</v>
      </c>
      <c r="H1960" t="n">
        <v>0.0254156256115115</v>
      </c>
      <c r="I1960" t="n">
        <v>0.041733954517026</v>
      </c>
      <c r="J1960" t="n">
        <v>0.0015278106874632</v>
      </c>
      <c r="K1960" t="n">
        <v>0.7951862750591647</v>
      </c>
      <c r="L1960" t="b">
        <v>0</v>
      </c>
      <c r="M1960" t="b">
        <v>0</v>
      </c>
      <c r="N1960" t="inlineStr">
        <is>
          <t>alt</t>
        </is>
      </c>
      <c r="O1960" t="n">
        <v>-65</v>
      </c>
      <c r="P1960" t="n">
        <v>0.01538</v>
      </c>
      <c r="Q1960" t="n">
        <v>-45</v>
      </c>
      <c r="R1960" t="n">
        <v>0.04654</v>
      </c>
      <c r="S1960">
        <f>IMAGE("https://mitra.stanford.edu/kundaje/oak/projects/neuro-variants/variant_position/credible/roussos_2024/variant_figures/roussos_2024.childhood.GLU/rs2930551_count_position.png",4,220,900)</f>
        <v/>
      </c>
      <c r="T1960">
        <f>IMAGE("https://mitra.stanford.edu/kundaje/oak/projects/neuro-variants/variant_position/credible/roussos_2024/variant_figures/roussos_2024.childhood.GLU/rs2930551_profile_position.png",4,220,900)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-0.00097375008</v>
      </c>
      <c r="G1961" t="n">
        <v>0.8158485570528113</v>
      </c>
      <c r="H1961" t="n">
        <v>0.0061342318568253</v>
      </c>
      <c r="I1961" t="n">
        <v>0.9656074046605204</v>
      </c>
      <c r="J1961" t="n">
        <v>0.0009869471602088</v>
      </c>
      <c r="K1961" t="n">
        <v>0.8285213720046397</v>
      </c>
      <c r="L1961" t="b">
        <v>0</v>
      </c>
      <c r="M1961" t="b">
        <v>0</v>
      </c>
      <c r="N1961" t="inlineStr">
        <is>
          <t>ref</t>
        </is>
      </c>
      <c r="O1961" t="n">
        <v>55</v>
      </c>
      <c r="P1961" t="n">
        <v>0.00605</v>
      </c>
      <c r="Q1961" t="n">
        <v>-35</v>
      </c>
      <c r="R1961" t="n">
        <v>0.07829999999999999</v>
      </c>
      <c r="S1961">
        <f>IMAGE("https://mitra.stanford.edu/kundaje/oak/projects/neuro-variants/variant_position/credible/roussos_2024/variant_figures/roussos_2024.childhood.GLU/rs4891202_count_position.png",4,220,900)</f>
        <v/>
      </c>
      <c r="T1961">
        <f>IMAGE("https://mitra.stanford.edu/kundaje/oak/projects/neuro-variants/variant_position/credible/roussos_2024/variant_figures/roussos_2024.childhood.GLU/rs4891202_profile_position.png",4,220,900)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-0.08415517359999999</v>
      </c>
      <c r="G1962" t="n">
        <v>0.06818500029720551</v>
      </c>
      <c r="H1962" t="n">
        <v>0.0132447458539348</v>
      </c>
      <c r="I1962" t="n">
        <v>0.346863625311515</v>
      </c>
      <c r="J1962" t="n">
        <v>0.07538813396932011</v>
      </c>
      <c r="K1962" t="n">
        <v>0.2954825008142078</v>
      </c>
      <c r="L1962" t="b">
        <v>0</v>
      </c>
      <c r="M1962" t="b">
        <v>0</v>
      </c>
      <c r="N1962" t="inlineStr">
        <is>
          <t>ref</t>
        </is>
      </c>
      <c r="O1962" t="n">
        <v>100</v>
      </c>
      <c r="P1962" t="n">
        <v>0.003914</v>
      </c>
      <c r="Q1962" t="n">
        <v>95</v>
      </c>
      <c r="R1962" t="n">
        <v>0.1514</v>
      </c>
      <c r="S1962">
        <f>IMAGE("https://mitra.stanford.edu/kundaje/oak/projects/neuro-variants/variant_position/credible/roussos_2024/variant_figures/roussos_2024.childhood.GLU/rs7243542_count_position.png",4,220,900)</f>
        <v/>
      </c>
      <c r="T1962">
        <f>IMAGE("https://mitra.stanford.edu/kundaje/oak/projects/neuro-variants/variant_position/credible/roussos_2024/variant_figures/roussos_2024.childhood.GLU/rs7243542_profile_position.png",4,220,900)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-0.00965216082</v>
      </c>
      <c r="G1963" t="n">
        <v>0.4647213867857114</v>
      </c>
      <c r="H1963" t="n">
        <v>0.0125851349844897</v>
      </c>
      <c r="I1963" t="n">
        <v>0.3984380163343701</v>
      </c>
      <c r="J1963" t="n">
        <v>0.0013135257090462</v>
      </c>
      <c r="K1963" t="n">
        <v>0.8153355093355559</v>
      </c>
      <c r="L1963" t="b">
        <v>0</v>
      </c>
      <c r="M1963" t="b">
        <v>0</v>
      </c>
      <c r="N1963" t="inlineStr">
        <is>
          <t>ref</t>
        </is>
      </c>
      <c r="O1963" t="n">
        <v>95</v>
      </c>
      <c r="P1963" t="n">
        <v>0.005646</v>
      </c>
      <c r="Q1963" t="n">
        <v>85</v>
      </c>
      <c r="R1963" t="n">
        <v>0.07525999999999999</v>
      </c>
      <c r="S1963">
        <f>IMAGE("https://mitra.stanford.edu/kundaje/oak/projects/neuro-variants/variant_position/credible/roussos_2024/variant_figures/roussos_2024.childhood.GLU/rs61019476_count_position.png",4,220,900)</f>
        <v/>
      </c>
      <c r="T1963">
        <f>IMAGE("https://mitra.stanford.edu/kundaje/oak/projects/neuro-variants/variant_position/credible/roussos_2024/variant_figures/roussos_2024.childhood.GLU/rs61019476_profile_position.png",4,220,900)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0.199455554</v>
      </c>
      <c r="G1964" t="n">
        <v>0.0079355170534699</v>
      </c>
      <c r="H1964" t="n">
        <v>0.0206275999427777</v>
      </c>
      <c r="I1964" t="n">
        <v>0.0956998180307178</v>
      </c>
      <c r="J1964" t="n">
        <v>0.06595959491897339</v>
      </c>
      <c r="K1964" t="n">
        <v>0.3272188748414215</v>
      </c>
      <c r="L1964" t="b">
        <v>1</v>
      </c>
      <c r="M1964" t="b">
        <v>1</v>
      </c>
      <c r="N1964" t="inlineStr">
        <is>
          <t>alt</t>
        </is>
      </c>
      <c r="O1964" t="n">
        <v>-40</v>
      </c>
      <c r="P1964" t="n">
        <v>0.00392</v>
      </c>
      <c r="Q1964" t="n">
        <v>40</v>
      </c>
      <c r="R1964" t="n">
        <v>0.03613</v>
      </c>
      <c r="S1964">
        <f>IMAGE("https://mitra.stanford.edu/kundaje/oak/projects/neuro-variants/variant_position/credible/roussos_2024/variant_figures/roussos_2024.childhood.GLU/rs4891041_count_position.png",4,220,900)</f>
        <v/>
      </c>
      <c r="T1964">
        <f>IMAGE("https://mitra.stanford.edu/kundaje/oak/projects/neuro-variants/variant_position/credible/roussos_2024/variant_figures/roussos_2024.childhood.GLU/rs4891041_profile_position.png",4,220,900)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-0.0330009412</v>
      </c>
      <c r="G1965" t="n">
        <v>0.3127987191415086</v>
      </c>
      <c r="H1965" t="n">
        <v>0.010342377586733</v>
      </c>
      <c r="I1965" t="n">
        <v>0.6257512699382517</v>
      </c>
      <c r="J1965" t="n">
        <v>0.1328690492134298</v>
      </c>
      <c r="K1965" t="n">
        <v>0.2091324146918474</v>
      </c>
      <c r="L1965" t="b">
        <v>0</v>
      </c>
      <c r="M1965" t="b">
        <v>0</v>
      </c>
      <c r="N1965" t="inlineStr">
        <is>
          <t>ref</t>
        </is>
      </c>
      <c r="O1965" t="n">
        <v>75</v>
      </c>
      <c r="P1965" t="n">
        <v>0.01604</v>
      </c>
      <c r="Q1965" t="n">
        <v>-20</v>
      </c>
      <c r="R1965" t="n">
        <v>0.02148</v>
      </c>
      <c r="S1965">
        <f>IMAGE("https://mitra.stanford.edu/kundaje/oak/projects/neuro-variants/variant_position/credible/roussos_2024/variant_figures/roussos_2024.childhood.GLU/rs4334389_count_position.png",4,220,900)</f>
        <v/>
      </c>
      <c r="T1965">
        <f>IMAGE("https://mitra.stanford.edu/kundaje/oak/projects/neuro-variants/variant_position/credible/roussos_2024/variant_figures/roussos_2024.childhood.GLU/rs4334389_profile_position.png",4,220,900)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-0.01093743896</v>
      </c>
      <c r="G1966" t="n">
        <v>0.6316277906170367</v>
      </c>
      <c r="H1966" t="n">
        <v>0.0148949245671509</v>
      </c>
      <c r="I1966" t="n">
        <v>0.2500363588835217</v>
      </c>
      <c r="J1966" t="n">
        <v>0.0599328299009961</v>
      </c>
      <c r="K1966" t="n">
        <v>0.3314752274400077</v>
      </c>
      <c r="L1966" t="b">
        <v>0</v>
      </c>
      <c r="M1966" t="b">
        <v>0</v>
      </c>
      <c r="N1966" t="inlineStr">
        <is>
          <t>ref</t>
        </is>
      </c>
      <c r="O1966" t="n">
        <v>65</v>
      </c>
      <c r="P1966" t="n">
        <v>0.007889999999999999</v>
      </c>
      <c r="Q1966" t="n">
        <v>-25</v>
      </c>
      <c r="R1966" t="n">
        <v>0.01257</v>
      </c>
      <c r="S1966">
        <f>IMAGE("https://mitra.stanford.edu/kundaje/oak/projects/neuro-variants/variant_position/credible/roussos_2024/variant_figures/roussos_2024.childhood.GLU/rs9963429_count_position.png",4,220,900)</f>
        <v/>
      </c>
      <c r="T1966">
        <f>IMAGE("https://mitra.stanford.edu/kundaje/oak/projects/neuro-variants/variant_position/credible/roussos_2024/variant_figures/roussos_2024.childhood.GLU/rs9963429_profile_position.png",4,220,900)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0.0235013678</v>
      </c>
      <c r="G1967" t="n">
        <v>0.3446502572314794</v>
      </c>
      <c r="H1967" t="n">
        <v>0.0103574842776395</v>
      </c>
      <c r="I1967" t="n">
        <v>0.5924853232035984</v>
      </c>
      <c r="J1967" t="n">
        <v>0.0113498923424026</v>
      </c>
      <c r="K1967" t="n">
        <v>0.5727187959327122</v>
      </c>
      <c r="L1967" t="b">
        <v>0</v>
      </c>
      <c r="M1967" t="b">
        <v>0</v>
      </c>
      <c r="N1967" t="inlineStr">
        <is>
          <t>alt</t>
        </is>
      </c>
      <c r="O1967" t="n">
        <v>-10</v>
      </c>
      <c r="P1967" t="n">
        <v>0.0004883</v>
      </c>
      <c r="Q1967" t="n">
        <v>-25</v>
      </c>
      <c r="R1967" t="n">
        <v>0.012085</v>
      </c>
      <c r="S1967">
        <f>IMAGE("https://mitra.stanford.edu/kundaje/oak/projects/neuro-variants/variant_position/credible/roussos_2024/variant_figures/roussos_2024.childhood.GLU/rs4891211_count_position.png",4,220,900)</f>
        <v/>
      </c>
      <c r="T1967">
        <f>IMAGE("https://mitra.stanford.edu/kundaje/oak/projects/neuro-variants/variant_position/credible/roussos_2024/variant_figures/roussos_2024.childhood.GLU/rs4891211_profile_position.png",4,220,900)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0.00300434486</v>
      </c>
      <c r="G1968" t="n">
        <v>0.8181755252037634</v>
      </c>
      <c r="H1968" t="n">
        <v>0.017664686923276</v>
      </c>
      <c r="I1968" t="n">
        <v>0.1527235509237813</v>
      </c>
      <c r="J1968" t="n">
        <v>0.0033399610578259</v>
      </c>
      <c r="K1968" t="n">
        <v>0.7170549171965954</v>
      </c>
      <c r="L1968" t="b">
        <v>0</v>
      </c>
      <c r="M1968" t="b">
        <v>0</v>
      </c>
      <c r="N1968" t="inlineStr">
        <is>
          <t>alt</t>
        </is>
      </c>
      <c r="O1968" t="n">
        <v>-95</v>
      </c>
      <c r="P1968" t="n">
        <v>0.004448</v>
      </c>
      <c r="Q1968" t="n">
        <v>-90</v>
      </c>
      <c r="R1968" t="n">
        <v>0.202</v>
      </c>
      <c r="S1968">
        <f>IMAGE("https://mitra.stanford.edu/kundaje/oak/projects/neuro-variants/variant_position/credible/roussos_2024/variant_figures/roussos_2024.childhood.GLU/rs4891042_count_position.png",4,220,900)</f>
        <v/>
      </c>
      <c r="T1968">
        <f>IMAGE("https://mitra.stanford.edu/kundaje/oak/projects/neuro-variants/variant_position/credible/roussos_2024/variant_figures/roussos_2024.childhood.GLU/rs4891042_profile_position.png",4,220,900)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0.0412462292</v>
      </c>
      <c r="G1969" t="n">
        <v>0.2284256658289188</v>
      </c>
      <c r="H1969" t="n">
        <v>0.0129940133242743</v>
      </c>
      <c r="I1969" t="n">
        <v>0.3689218793887878</v>
      </c>
      <c r="J1969" t="n">
        <v>0.0011291170016586</v>
      </c>
      <c r="K1969" t="n">
        <v>0.8157983200680594</v>
      </c>
      <c r="L1969" t="b">
        <v>0</v>
      </c>
      <c r="M1969" t="b">
        <v>0</v>
      </c>
      <c r="N1969" t="inlineStr">
        <is>
          <t>alt</t>
        </is>
      </c>
      <c r="O1969" t="n">
        <v>85</v>
      </c>
      <c r="P1969" t="n">
        <v>0.01435</v>
      </c>
      <c r="Q1969" t="n">
        <v>100</v>
      </c>
      <c r="R1969" t="n">
        <v>0.1357</v>
      </c>
      <c r="S1969">
        <f>IMAGE("https://mitra.stanford.edu/kundaje/oak/projects/neuro-variants/variant_position/credible/roussos_2024/variant_figures/roussos_2024.childhood.GLU/rs9964094_count_position.png",4,220,900)</f>
        <v/>
      </c>
      <c r="T1969">
        <f>IMAGE("https://mitra.stanford.edu/kundaje/oak/projects/neuro-variants/variant_position/credible/roussos_2024/variant_figures/roussos_2024.childhood.GLU/rs9964094_profile_position.png",4,220,900)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0.0796190728</v>
      </c>
      <c r="G1970" t="n">
        <v>0.0919603659217552</v>
      </c>
      <c r="H1970" t="n">
        <v>0.0135781383419821</v>
      </c>
      <c r="I1970" t="n">
        <v>0.3280005331916343</v>
      </c>
      <c r="J1970" t="n">
        <v>0.0013372206826212</v>
      </c>
      <c r="K1970" t="n">
        <v>0.8082276656235898</v>
      </c>
      <c r="L1970" t="b">
        <v>0</v>
      </c>
      <c r="M1970" t="b">
        <v>0</v>
      </c>
      <c r="N1970" t="inlineStr">
        <is>
          <t>alt</t>
        </is>
      </c>
      <c r="O1970" t="n">
        <v>20</v>
      </c>
      <c r="P1970" t="n">
        <v>0.002579</v>
      </c>
      <c r="Q1970" t="n">
        <v>35</v>
      </c>
      <c r="R1970" t="n">
        <v>0.08276</v>
      </c>
      <c r="S1970">
        <f>IMAGE("https://mitra.stanford.edu/kundaje/oak/projects/neuro-variants/variant_position/credible/roussos_2024/variant_figures/roussos_2024.childhood.GLU/rs9964170_count_position.png",4,220,900)</f>
        <v/>
      </c>
      <c r="T1970">
        <f>IMAGE("https://mitra.stanford.edu/kundaje/oak/projects/neuro-variants/variant_position/credible/roussos_2024/variant_figures/roussos_2024.childhood.GLU/rs9964170_profile_position.png",4,220,900)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-0.0255796954</v>
      </c>
      <c r="G1971" t="n">
        <v>0.375404813336598</v>
      </c>
      <c r="H1971" t="n">
        <v>0.0174673818669597</v>
      </c>
      <c r="I1971" t="n">
        <v>0.1647103635062624</v>
      </c>
      <c r="J1971" t="n">
        <v>0.0440499860920806</v>
      </c>
      <c r="K1971" t="n">
        <v>0.3675243586729999</v>
      </c>
      <c r="L1971" t="b">
        <v>0</v>
      </c>
      <c r="M1971" t="b">
        <v>0</v>
      </c>
      <c r="N1971" t="inlineStr">
        <is>
          <t>ref</t>
        </is>
      </c>
      <c r="O1971" t="n">
        <v>-20</v>
      </c>
      <c r="P1971" t="n">
        <v>0.002205</v>
      </c>
      <c r="Q1971" t="n">
        <v>75</v>
      </c>
      <c r="R1971" t="n">
        <v>0.1797</v>
      </c>
      <c r="S1971">
        <f>IMAGE("https://mitra.stanford.edu/kundaje/oak/projects/neuro-variants/variant_position/credible/roussos_2024/variant_figures/roussos_2024.childhood.GLU/rs2920353_count_position.png",4,220,900)</f>
        <v/>
      </c>
      <c r="T1971">
        <f>IMAGE("https://mitra.stanford.edu/kundaje/oak/projects/neuro-variants/variant_position/credible/roussos_2024/variant_figures/roussos_2024.childhood.GLU/rs2920353_profile_position.png",4,220,900)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0.08728282699999999</v>
      </c>
      <c r="G1972" t="n">
        <v>0.0638302672669243</v>
      </c>
      <c r="H1972" t="n">
        <v>0.0138502369090721</v>
      </c>
      <c r="I1972" t="n">
        <v>0.3243473842724786</v>
      </c>
      <c r="J1972" t="n">
        <v>0.0983516540121771</v>
      </c>
      <c r="K1972" t="n">
        <v>0.2504324905878199</v>
      </c>
      <c r="L1972" t="b">
        <v>0</v>
      </c>
      <c r="M1972" t="b">
        <v>0</v>
      </c>
      <c r="N1972" t="inlineStr">
        <is>
          <t>alt</t>
        </is>
      </c>
      <c r="O1972" t="n">
        <v>-35</v>
      </c>
      <c r="P1972" t="n">
        <v>0.0003395</v>
      </c>
      <c r="Q1972" t="n">
        <v>-55</v>
      </c>
      <c r="R1972" t="n">
        <v>0.01318</v>
      </c>
      <c r="S1972">
        <f>IMAGE("https://mitra.stanford.edu/kundaje/oak/projects/neuro-variants/variant_position/credible/roussos_2024/variant_figures/roussos_2024.childhood.GLU/rs9947731_count_position.png",4,220,900)</f>
        <v/>
      </c>
      <c r="T1972">
        <f>IMAGE("https://mitra.stanford.edu/kundaje/oak/projects/neuro-variants/variant_position/credible/roussos_2024/variant_figures/roussos_2024.childhood.GLU/rs9947731_profile_position.png",4,220,900)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0.0267395966</v>
      </c>
      <c r="G1973" t="n">
        <v>0.3733023147569889</v>
      </c>
      <c r="H1973" t="n">
        <v>0.0091823904247134</v>
      </c>
      <c r="I1973" t="n">
        <v>0.7578943867313265</v>
      </c>
      <c r="J1973" t="n">
        <v>0.18439119371156</v>
      </c>
      <c r="K1973" t="n">
        <v>0.1606331339422949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0.013016</v>
      </c>
      <c r="Q1973" t="n">
        <v>95</v>
      </c>
      <c r="R1973" t="n">
        <v>0.02893</v>
      </c>
      <c r="S1973">
        <f>IMAGE("https://mitra.stanford.edu/kundaje/oak/projects/neuro-variants/variant_position/credible/roussos_2024/variant_figures/roussos_2024.childhood.GLU/rs7241108_count_position.png",4,220,900)</f>
        <v/>
      </c>
      <c r="T1973">
        <f>IMAGE("https://mitra.stanford.edu/kundaje/oak/projects/neuro-variants/variant_position/credible/roussos_2024/variant_figures/roussos_2024.childhood.GLU/rs7241108_profile_position.png",4,220,900)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0.0529626094</v>
      </c>
      <c r="G1974" t="n">
        <v>0.1642409283022694</v>
      </c>
      <c r="H1974" t="n">
        <v>0.015721526237035</v>
      </c>
      <c r="I1974" t="n">
        <v>0.2229561625800183</v>
      </c>
      <c r="J1974" t="n">
        <v>0.0312845766326351</v>
      </c>
      <c r="K1974" t="n">
        <v>0.4212416028370805</v>
      </c>
      <c r="L1974" t="b">
        <v>0</v>
      </c>
      <c r="M1974" t="b">
        <v>0</v>
      </c>
      <c r="N1974" t="inlineStr">
        <is>
          <t>alt</t>
        </is>
      </c>
      <c r="O1974" t="n">
        <v>-35</v>
      </c>
      <c r="P1974" t="n">
        <v>0.001621</v>
      </c>
      <c r="Q1974" t="n">
        <v>-65</v>
      </c>
      <c r="R1974" t="n">
        <v>0.01825</v>
      </c>
      <c r="S1974">
        <f>IMAGE("https://mitra.stanford.edu/kundaje/oak/projects/neuro-variants/variant_position/credible/roussos_2024/variant_figures/roussos_2024.childhood.GLU/rs9961644_count_position.png",4,220,900)</f>
        <v/>
      </c>
      <c r="T1974">
        <f>IMAGE("https://mitra.stanford.edu/kundaje/oak/projects/neuro-variants/variant_position/credible/roussos_2024/variant_figures/roussos_2024.childhood.GLU/rs9961644_profile_position.png",4,220,900)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-0.0432508368</v>
      </c>
      <c r="G1975" t="n">
        <v>0.2349793062685143</v>
      </c>
      <c r="H1975" t="n">
        <v>0.0094266653566327</v>
      </c>
      <c r="I1975" t="n">
        <v>0.6824954163088434</v>
      </c>
      <c r="J1975" t="n">
        <v>0.1516962510430938</v>
      </c>
      <c r="K1975" t="n">
        <v>0.1843914093042174</v>
      </c>
      <c r="L1975" t="b">
        <v>0</v>
      </c>
      <c r="M1975" t="b">
        <v>0</v>
      </c>
      <c r="N1975" t="inlineStr">
        <is>
          <t>ref</t>
        </is>
      </c>
      <c r="O1975" t="n">
        <v>90</v>
      </c>
      <c r="P1975" t="n">
        <v>0.00454</v>
      </c>
      <c r="Q1975" t="n">
        <v>10</v>
      </c>
      <c r="R1975" t="n">
        <v>0.0346</v>
      </c>
      <c r="S1975">
        <f>IMAGE("https://mitra.stanford.edu/kundaje/oak/projects/neuro-variants/variant_position/credible/roussos_2024/variant_figures/roussos_2024.childhood.GLU/rs7234127_count_position.png",4,220,900)</f>
        <v/>
      </c>
      <c r="T1975">
        <f>IMAGE("https://mitra.stanford.edu/kundaje/oak/projects/neuro-variants/variant_position/credible/roussos_2024/variant_figures/roussos_2024.childhood.GLU/rs7234127_profile_position.png",4,220,900)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0.0405663583</v>
      </c>
      <c r="G1976" t="n">
        <v>0.1910314802265782</v>
      </c>
      <c r="H1976" t="n">
        <v>0.0199032012463891</v>
      </c>
      <c r="I1976" t="n">
        <v>0.09906427180748741</v>
      </c>
      <c r="J1976" t="n">
        <v>0.0463844560973348</v>
      </c>
      <c r="K1976" t="n">
        <v>0.3712366873939017</v>
      </c>
      <c r="L1976" t="b">
        <v>0</v>
      </c>
      <c r="M1976" t="b">
        <v>0</v>
      </c>
      <c r="N1976" t="inlineStr">
        <is>
          <t>alt</t>
        </is>
      </c>
      <c r="O1976" t="n">
        <v>60</v>
      </c>
      <c r="P1976" t="n">
        <v>0.003105</v>
      </c>
      <c r="Q1976" t="n">
        <v>-10</v>
      </c>
      <c r="R1976" t="n">
        <v>0.01221</v>
      </c>
      <c r="S1976">
        <f>IMAGE("https://mitra.stanford.edu/kundaje/oak/projects/neuro-variants/variant_position/credible/roussos_2024/variant_figures/roussos_2024.childhood.GLU/rs9950694_count_position.png",4,220,900)</f>
        <v/>
      </c>
      <c r="T1976">
        <f>IMAGE("https://mitra.stanford.edu/kundaje/oak/projects/neuro-variants/variant_position/credible/roussos_2024/variant_figures/roussos_2024.childhood.GLU/rs9950694_profile_position.png",4,220,900)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-0.00572949602</v>
      </c>
      <c r="G1977" t="n">
        <v>0.7450225208339384</v>
      </c>
      <c r="H1977" t="n">
        <v>0.0248059633269199</v>
      </c>
      <c r="I1977" t="n">
        <v>0.0453760844366419</v>
      </c>
      <c r="J1977" t="n">
        <v>0.0058186613370146</v>
      </c>
      <c r="K1977" t="n">
        <v>0.6599999682607256</v>
      </c>
      <c r="L1977" t="b">
        <v>0</v>
      </c>
      <c r="M1977" t="b">
        <v>0</v>
      </c>
      <c r="N1977" t="inlineStr">
        <is>
          <t>ref</t>
        </is>
      </c>
      <c r="O1977" t="n">
        <v>80</v>
      </c>
      <c r="P1977" t="n">
        <v>0.00868</v>
      </c>
      <c r="Q1977" t="n">
        <v>100</v>
      </c>
      <c r="R1977" t="n">
        <v>0.294</v>
      </c>
      <c r="S1977">
        <f>IMAGE("https://mitra.stanford.edu/kundaje/oak/projects/neuro-variants/variant_position/credible/roussos_2024/variant_figures/roussos_2024.childhood.GLU/rs894577_count_position.png",4,220,900)</f>
        <v/>
      </c>
      <c r="T1977">
        <f>IMAGE("https://mitra.stanford.edu/kundaje/oak/projects/neuro-variants/variant_position/credible/roussos_2024/variant_figures/roussos_2024.childhood.GLU/rs894577_profile_position.png",4,220,900)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-0.01006835188</v>
      </c>
      <c r="G1978" t="n">
        <v>0.6292068625708792</v>
      </c>
      <c r="H1978" t="n">
        <v>0.0175499808475822</v>
      </c>
      <c r="I1978" t="n">
        <v>0.1580423649322203</v>
      </c>
      <c r="J1978" t="n">
        <v>0.3076565671134371</v>
      </c>
      <c r="K1978" t="n">
        <v>0.09414819219456561</v>
      </c>
      <c r="L1978" t="b">
        <v>0</v>
      </c>
      <c r="M1978" t="b">
        <v>0</v>
      </c>
      <c r="N1978" t="inlineStr">
        <is>
          <t>ref</t>
        </is>
      </c>
      <c r="O1978" t="n">
        <v>-25</v>
      </c>
      <c r="P1978" t="n">
        <v>0.00788</v>
      </c>
      <c r="Q1978" t="n">
        <v>-75</v>
      </c>
      <c r="R1978" t="n">
        <v>0.2224</v>
      </c>
      <c r="S1978">
        <f>IMAGE("https://mitra.stanford.edu/kundaje/oak/projects/neuro-variants/variant_position/credible/roussos_2024/variant_figures/roussos_2024.childhood.GLU/rs9319675_count_position.png",4,220,900)</f>
        <v/>
      </c>
      <c r="T1978">
        <f>IMAGE("https://mitra.stanford.edu/kundaje/oak/projects/neuro-variants/variant_position/credible/roussos_2024/variant_figures/roussos_2024.childhood.GLU/rs9319675_profile_position.png",4,220,900)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-0.065709223</v>
      </c>
      <c r="G1979" t="n">
        <v>0.1169799164180347</v>
      </c>
      <c r="H1979" t="n">
        <v>0.0141251652365588</v>
      </c>
      <c r="I1979" t="n">
        <v>0.2950033401753332</v>
      </c>
      <c r="J1979" t="n">
        <v>0.0389792617470406</v>
      </c>
      <c r="K1979" t="n">
        <v>0.3875762322991124</v>
      </c>
      <c r="L1979" t="b">
        <v>0</v>
      </c>
      <c r="M1979" t="b">
        <v>0</v>
      </c>
      <c r="N1979" t="inlineStr">
        <is>
          <t>ref</t>
        </is>
      </c>
      <c r="O1979" t="n">
        <v>-20</v>
      </c>
      <c r="P1979" t="n">
        <v>0.001068</v>
      </c>
      <c r="Q1979" t="n">
        <v>95</v>
      </c>
      <c r="R1979" t="n">
        <v>0.1042</v>
      </c>
      <c r="S1979">
        <f>IMAGE("https://mitra.stanford.edu/kundaje/oak/projects/neuro-variants/variant_position/credible/roussos_2024/variant_figures/roussos_2024.childhood.GLU/rs4891221_count_position.png",4,220,900)</f>
        <v/>
      </c>
      <c r="T1979">
        <f>IMAGE("https://mitra.stanford.edu/kundaje/oak/projects/neuro-variants/variant_position/credible/roussos_2024/variant_figures/roussos_2024.childhood.GLU/rs4891221_profile_position.png",4,220,900)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-0.02675272454</v>
      </c>
      <c r="G1980" t="n">
        <v>0.3975755167046363</v>
      </c>
      <c r="H1980" t="n">
        <v>0.0135700511062424</v>
      </c>
      <c r="I1980" t="n">
        <v>0.3313179668912279</v>
      </c>
      <c r="J1980" t="n">
        <v>0.6983001432000577</v>
      </c>
      <c r="K1980" t="n">
        <v>0.0151424226871162</v>
      </c>
      <c r="L1980" t="b">
        <v>0</v>
      </c>
      <c r="M1980" t="b">
        <v>0</v>
      </c>
      <c r="N1980" t="inlineStr">
        <is>
          <t>ref</t>
        </is>
      </c>
      <c r="O1980" t="n">
        <v>40</v>
      </c>
      <c r="P1980" t="n">
        <v>0.002329</v>
      </c>
      <c r="Q1980" t="n">
        <v>0</v>
      </c>
      <c r="R1980" t="n">
        <v>0</v>
      </c>
      <c r="S1980">
        <f>IMAGE("https://mitra.stanford.edu/kundaje/oak/projects/neuro-variants/variant_position/credible/roussos_2024/variant_figures/roussos_2024.childhood.GLU/rs115000070_count_position.png",4,220,900)</f>
        <v/>
      </c>
      <c r="T1980">
        <f>IMAGE("https://mitra.stanford.edu/kundaje/oak/projects/neuro-variants/variant_position/credible/roussos_2024/variant_figures/roussos_2024.childhood.GLU/rs115000070_profile_position.png",4,220,900)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-0.00412963556</v>
      </c>
      <c r="G1981" t="n">
        <v>0.6227229681698985</v>
      </c>
      <c r="H1981" t="n">
        <v>0.0213994997855172</v>
      </c>
      <c r="I1981" t="n">
        <v>0.08013757438649551</v>
      </c>
      <c r="J1981" t="n">
        <v>0.6820845395448505</v>
      </c>
      <c r="K1981" t="n">
        <v>0.0167427910979536</v>
      </c>
      <c r="L1981" t="b">
        <v>0</v>
      </c>
      <c r="M1981" t="b">
        <v>0</v>
      </c>
      <c r="N1981" t="inlineStr">
        <is>
          <t>ref</t>
        </is>
      </c>
      <c r="O1981" t="n">
        <v>-30</v>
      </c>
      <c r="P1981" t="n">
        <v>0.007088</v>
      </c>
      <c r="Q1981" t="n">
        <v>-100</v>
      </c>
      <c r="R1981" t="n">
        <v>0.03296</v>
      </c>
      <c r="S1981">
        <f>IMAGE("https://mitra.stanford.edu/kundaje/oak/projects/neuro-variants/variant_position/credible/roussos_2024/variant_figures/roussos_2024.childhood.GLU/rs12457876_count_position.png",4,220,900)</f>
        <v/>
      </c>
      <c r="T1981">
        <f>IMAGE("https://mitra.stanford.edu/kundaje/oak/projects/neuro-variants/variant_position/credible/roussos_2024/variant_figures/roussos_2024.childhood.GLU/rs12457876_profile_position.png",4,220,900)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0.0036837436</v>
      </c>
      <c r="G1982" t="n">
        <v>0.5869825771789211</v>
      </c>
      <c r="H1982" t="n">
        <v>0.0142120162377393</v>
      </c>
      <c r="I1982" t="n">
        <v>0.2888759837706105</v>
      </c>
      <c r="J1982" t="n">
        <v>0.6652817126314814</v>
      </c>
      <c r="K1982" t="n">
        <v>0.0184688193389745</v>
      </c>
      <c r="L1982" t="b">
        <v>0</v>
      </c>
      <c r="M1982" t="b">
        <v>0</v>
      </c>
      <c r="N1982" t="inlineStr">
        <is>
          <t>alt</t>
        </is>
      </c>
      <c r="O1982" t="n">
        <v>95</v>
      </c>
      <c r="P1982" t="n">
        <v>0.00232</v>
      </c>
      <c r="Q1982" t="n">
        <v>20</v>
      </c>
      <c r="R1982" t="n">
        <v>0.03345</v>
      </c>
      <c r="S1982">
        <f>IMAGE("https://mitra.stanford.edu/kundaje/oak/projects/neuro-variants/variant_position/credible/roussos_2024/variant_figures/roussos_2024.childhood.GLU/rs11664298_count_position.png",4,220,900)</f>
        <v/>
      </c>
      <c r="T1982">
        <f>IMAGE("https://mitra.stanford.edu/kundaje/oak/projects/neuro-variants/variant_position/credible/roussos_2024/variant_figures/roussos_2024.childhood.GLU/rs11664298_profile_position.png",4,220,900)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0.273583196</v>
      </c>
      <c r="G1983" t="n">
        <v>0.0027797027273215</v>
      </c>
      <c r="H1983" t="n">
        <v>0.0446663386103511</v>
      </c>
      <c r="I1983" t="n">
        <v>0.0043274028814861</v>
      </c>
      <c r="J1983" t="n">
        <v>0.7886016874942049</v>
      </c>
      <c r="K1983" t="n">
        <v>0.0079046962890014</v>
      </c>
      <c r="L1983" t="b">
        <v>1</v>
      </c>
      <c r="M1983" t="b">
        <v>1</v>
      </c>
      <c r="N1983" t="inlineStr">
        <is>
          <t>alt</t>
        </is>
      </c>
      <c r="O1983" t="n">
        <v>70</v>
      </c>
      <c r="P1983" t="n">
        <v>0.005756</v>
      </c>
      <c r="Q1983" t="n">
        <v>-50</v>
      </c>
      <c r="R1983" t="n">
        <v>0.02844</v>
      </c>
      <c r="S1983">
        <f>IMAGE("https://mitra.stanford.edu/kundaje/oak/projects/neuro-variants/variant_position/credible/roussos_2024/variant_figures/roussos_2024.childhood.GLU/rs59183289_count_position.png",4,220,900)</f>
        <v/>
      </c>
      <c r="T1983">
        <f>IMAGE("https://mitra.stanford.edu/kundaje/oak/projects/neuro-variants/variant_position/credible/roussos_2024/variant_figures/roussos_2024.childhood.GLU/rs59183289_profile_position.png",4,220,900)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0.01854527232</v>
      </c>
      <c r="G1984" t="n">
        <v>0.2320239910608732</v>
      </c>
      <c r="H1984" t="n">
        <v>0.0200345360154411</v>
      </c>
      <c r="I1984" t="n">
        <v>0.1025312591444333</v>
      </c>
      <c r="J1984" t="n">
        <v>0.7467728476207156</v>
      </c>
      <c r="K1984" t="n">
        <v>0.0109462528873989</v>
      </c>
      <c r="L1984" t="b">
        <v>0</v>
      </c>
      <c r="M1984" t="b">
        <v>0</v>
      </c>
      <c r="N1984" t="inlineStr">
        <is>
          <t>alt</t>
        </is>
      </c>
      <c r="O1984" t="n">
        <v>90</v>
      </c>
      <c r="P1984" t="n">
        <v>0.001938</v>
      </c>
      <c r="Q1984" t="n">
        <v>15</v>
      </c>
      <c r="R1984" t="n">
        <v>0.03516</v>
      </c>
      <c r="S1984">
        <f>IMAGE("https://mitra.stanford.edu/kundaje/oak/projects/neuro-variants/variant_position/credible/roussos_2024/variant_figures/roussos_2024.childhood.GLU/rs72980085_count_position.png",4,220,900)</f>
        <v/>
      </c>
      <c r="T1984">
        <f>IMAGE("https://mitra.stanford.edu/kundaje/oak/projects/neuro-variants/variant_position/credible/roussos_2024/variant_figures/roussos_2024.childhood.GLU/rs72980085_profile_position.png",4,220,900)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-0.032516638</v>
      </c>
      <c r="G1985" t="n">
        <v>0.3045201633066328</v>
      </c>
      <c r="H1985" t="n">
        <v>0.0111260322808892</v>
      </c>
      <c r="I1985" t="n">
        <v>0.5379292617165777</v>
      </c>
      <c r="J1985" t="n">
        <v>0.6204363996002761</v>
      </c>
      <c r="K1985" t="n">
        <v>0.0239360100250496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0.03412</v>
      </c>
      <c r="Q1985" t="n">
        <v>0</v>
      </c>
      <c r="R1985" t="n">
        <v>0</v>
      </c>
      <c r="S1985">
        <f>IMAGE("https://mitra.stanford.edu/kundaje/oak/projects/neuro-variants/variant_position/credible/roussos_2024/variant_figures/roussos_2024.childhood.GLU/rs56197868_count_position.png",4,220,900)</f>
        <v/>
      </c>
      <c r="T1985">
        <f>IMAGE("https://mitra.stanford.edu/kundaje/oak/projects/neuro-variants/variant_position/credible/roussos_2024/variant_figures/roussos_2024.childhood.GLU/rs56197868_profile_position.png",4,220,900)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-0.019369476</v>
      </c>
      <c r="G1986" t="n">
        <v>0.3446127753103267</v>
      </c>
      <c r="H1986" t="n">
        <v>0.0214740991287128</v>
      </c>
      <c r="I1986" t="n">
        <v>0.08182908608887331</v>
      </c>
      <c r="J1986" t="n">
        <v>0.6998835855646101</v>
      </c>
      <c r="K1986" t="n">
        <v>0.0151663532748869</v>
      </c>
      <c r="L1986" t="b">
        <v>0</v>
      </c>
      <c r="M1986" t="b">
        <v>0</v>
      </c>
      <c r="N1986" t="inlineStr">
        <is>
          <t>ref</t>
        </is>
      </c>
      <c r="O1986" t="n">
        <v>-100</v>
      </c>
      <c r="P1986" t="n">
        <v>0.00724</v>
      </c>
      <c r="Q1986" t="n">
        <v>35</v>
      </c>
      <c r="R1986" t="n">
        <v>0.10205</v>
      </c>
      <c r="S1986">
        <f>IMAGE("https://mitra.stanford.edu/kundaje/oak/projects/neuro-variants/variant_position/credible/roussos_2024/variant_figures/roussos_2024.childhood.GLU/rs4239346_count_position.png",4,220,900)</f>
        <v/>
      </c>
      <c r="T1986">
        <f>IMAGE("https://mitra.stanford.edu/kundaje/oak/projects/neuro-variants/variant_position/credible/roussos_2024/variant_figures/roussos_2024.childhood.GLU/rs4239346_profile_position.png",4,220,900)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0.00831806656</v>
      </c>
      <c r="G1987" t="n">
        <v>0.5094495740249991</v>
      </c>
      <c r="H1987" t="n">
        <v>0.0114596147667994</v>
      </c>
      <c r="I1987" t="n">
        <v>0.494444181480997</v>
      </c>
      <c r="J1987" t="n">
        <v>0.5157942452120701</v>
      </c>
      <c r="K1987" t="n">
        <v>0.039588890746849</v>
      </c>
      <c r="L1987" t="b">
        <v>0</v>
      </c>
      <c r="M1987" t="b">
        <v>0</v>
      </c>
      <c r="N1987" t="inlineStr">
        <is>
          <t>alt</t>
        </is>
      </c>
      <c r="O1987" t="n">
        <v>-95</v>
      </c>
      <c r="P1987" t="n">
        <v>0.01142</v>
      </c>
      <c r="Q1987" t="n">
        <v>-70</v>
      </c>
      <c r="R1987" t="n">
        <v>0.02698</v>
      </c>
      <c r="S1987">
        <f>IMAGE("https://mitra.stanford.edu/kundaje/oak/projects/neuro-variants/variant_position/credible/roussos_2024/variant_figures/roussos_2024.childhood.GLU/rs11662267_count_position.png",4,220,900)</f>
        <v/>
      </c>
      <c r="T1987">
        <f>IMAGE("https://mitra.stanford.edu/kundaje/oak/projects/neuro-variants/variant_position/credible/roussos_2024/variant_figures/roussos_2024.childhood.GLU/rs11662267_profile_position.png",4,220,900)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-0.0080863198</v>
      </c>
      <c r="G1988" t="n">
        <v>0.4501554047310234</v>
      </c>
      <c r="H1988" t="n">
        <v>0.0118741059988847</v>
      </c>
      <c r="I1988" t="n">
        <v>0.4600316836492757</v>
      </c>
      <c r="J1988" t="n">
        <v>0.06658699661058851</v>
      </c>
      <c r="K1988" t="n">
        <v>0.3059436783300481</v>
      </c>
      <c r="L1988" t="b">
        <v>0</v>
      </c>
      <c r="M1988" t="b">
        <v>0</v>
      </c>
      <c r="N1988" t="inlineStr">
        <is>
          <t>ref</t>
        </is>
      </c>
      <c r="O1988" t="n">
        <v>100</v>
      </c>
      <c r="P1988" t="n">
        <v>0.02042</v>
      </c>
      <c r="Q1988" t="n">
        <v>100</v>
      </c>
      <c r="R1988" t="n">
        <v>0.2402</v>
      </c>
      <c r="S1988">
        <f>IMAGE("https://mitra.stanford.edu/kundaje/oak/projects/neuro-variants/variant_position/credible/roussos_2024/variant_figures/roussos_2024.childhood.GLU/rs12953577_count_position.png",4,220,900)</f>
        <v/>
      </c>
      <c r="T1988">
        <f>IMAGE("https://mitra.stanford.edu/kundaje/oak/projects/neuro-variants/variant_position/credible/roussos_2024/variant_figures/roussos_2024.childhood.GLU/rs12953577_profile_position.png",4,220,900)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0.1529772868</v>
      </c>
      <c r="G1989" t="n">
        <v>0.0167882341645964</v>
      </c>
      <c r="H1989" t="n">
        <v>0.022236787900065</v>
      </c>
      <c r="I1989" t="n">
        <v>0.0722752863686703</v>
      </c>
      <c r="J1989" t="n">
        <v>0.7534507093038829</v>
      </c>
      <c r="K1989" t="n">
        <v>0.0103618046394466</v>
      </c>
      <c r="L1989" t="b">
        <v>1</v>
      </c>
      <c r="M1989" t="b">
        <v>0</v>
      </c>
      <c r="N1989" t="inlineStr">
        <is>
          <t>alt</t>
        </is>
      </c>
      <c r="O1989" t="n">
        <v>-30</v>
      </c>
      <c r="P1989" t="n">
        <v>0.001102</v>
      </c>
      <c r="Q1989" t="n">
        <v>75</v>
      </c>
      <c r="R1989" t="n">
        <v>0.08154</v>
      </c>
      <c r="S1989">
        <f>IMAGE("https://mitra.stanford.edu/kundaje/oak/projects/neuro-variants/variant_position/credible/roussos_2024/variant_figures/roussos_2024.childhood.GLU/rs56862829_count_position.png",4,220,900)</f>
        <v/>
      </c>
      <c r="T1989">
        <f>IMAGE("https://mitra.stanford.edu/kundaje/oak/projects/neuro-variants/variant_position/credible/roussos_2024/variant_figures/roussos_2024.childhood.GLU/rs56862829_profile_position.png",4,220,900)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-0.025503403</v>
      </c>
      <c r="G1990" t="n">
        <v>0.3888091962623298</v>
      </c>
      <c r="H1990" t="n">
        <v>0.010640420017819</v>
      </c>
      <c r="I1990" t="n">
        <v>0.5937481586191057</v>
      </c>
      <c r="J1990" t="n">
        <v>0.5858221640722387</v>
      </c>
      <c r="K1990" t="n">
        <v>0.0283643364684805</v>
      </c>
      <c r="L1990" t="b">
        <v>0</v>
      </c>
      <c r="M1990" t="b">
        <v>0</v>
      </c>
      <c r="N1990" t="inlineStr">
        <is>
          <t>ref</t>
        </is>
      </c>
      <c r="O1990" t="n">
        <v>-85</v>
      </c>
      <c r="P1990" t="n">
        <v>0.008500000000000001</v>
      </c>
      <c r="Q1990" t="n">
        <v>100</v>
      </c>
      <c r="R1990" t="n">
        <v>0.07715</v>
      </c>
      <c r="S1990">
        <f>IMAGE("https://mitra.stanford.edu/kundaje/oak/projects/neuro-variants/variant_position/credible/roussos_2024/variant_figures/roussos_2024.childhood.GLU/rs72486339_count_position.png",4,220,900)</f>
        <v/>
      </c>
      <c r="T1990">
        <f>IMAGE("https://mitra.stanford.edu/kundaje/oak/projects/neuro-variants/variant_position/credible/roussos_2024/variant_figures/roussos_2024.childhood.GLU/rs72486339_profile_position.png",4,220,900)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0.00850053294</v>
      </c>
      <c r="G1991" t="n">
        <v>0.6808546907511943</v>
      </c>
      <c r="H1991" t="n">
        <v>0.0209468666172587</v>
      </c>
      <c r="I1991" t="n">
        <v>0.0835734426539616</v>
      </c>
      <c r="J1991" t="n">
        <v>0.0278683795728722</v>
      </c>
      <c r="K1991" t="n">
        <v>0.4477628648635092</v>
      </c>
      <c r="L1991" t="b">
        <v>0</v>
      </c>
      <c r="M1991" t="b">
        <v>0</v>
      </c>
      <c r="N1991" t="inlineStr">
        <is>
          <t>alt</t>
        </is>
      </c>
      <c r="O1991" t="n">
        <v>-30</v>
      </c>
      <c r="P1991" t="n">
        <v>0.003284</v>
      </c>
      <c r="Q1991" t="n">
        <v>100</v>
      </c>
      <c r="R1991" t="n">
        <v>0.09155000000000001</v>
      </c>
      <c r="S1991">
        <f>IMAGE("https://mitra.stanford.edu/kundaje/oak/projects/neuro-variants/variant_position/credible/roussos_2024/variant_figures/roussos_2024.childhood.GLU/rs117443676_count_position.png",4,220,900)</f>
        <v/>
      </c>
      <c r="T1991">
        <f>IMAGE("https://mitra.stanford.edu/kundaje/oak/projects/neuro-variants/variant_position/credible/roussos_2024/variant_figures/roussos_2024.childhood.GLU/rs117443676_profile_position.png",4,220,900)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-0.002374940134</v>
      </c>
      <c r="G1992" t="n">
        <v>0.8951034349598677</v>
      </c>
      <c r="H1992" t="n">
        <v>0.0096706205042101</v>
      </c>
      <c r="I1992" t="n">
        <v>0.6965310916645057</v>
      </c>
      <c r="J1992" t="n">
        <v>0.3270885058773836</v>
      </c>
      <c r="K1992" t="n">
        <v>0.08740510627157699</v>
      </c>
      <c r="L1992" t="b">
        <v>0</v>
      </c>
      <c r="M1992" t="b">
        <v>0</v>
      </c>
      <c r="N1992" t="inlineStr">
        <is>
          <t>ref</t>
        </is>
      </c>
      <c r="O1992" t="n">
        <v>100</v>
      </c>
      <c r="P1992" t="n">
        <v>0.00293</v>
      </c>
      <c r="Q1992" t="n">
        <v>-30</v>
      </c>
      <c r="R1992" t="n">
        <v>0.01768</v>
      </c>
      <c r="S1992">
        <f>IMAGE("https://mitra.stanford.edu/kundaje/oak/projects/neuro-variants/variant_position/credible/roussos_2024/variant_figures/roussos_2024.childhood.GLU/rs149339216_count_position.png",4,220,900)</f>
        <v/>
      </c>
      <c r="T1992">
        <f>IMAGE("https://mitra.stanford.edu/kundaje/oak/projects/neuro-variants/variant_position/credible/roussos_2024/variant_figures/roussos_2024.childhood.GLU/rs149339216_profile_position.png",4,220,900)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-0.1039528583999999</v>
      </c>
      <c r="G1993" t="n">
        <v>0.0482875681494042</v>
      </c>
      <c r="H1993" t="n">
        <v>0.0143924483399562</v>
      </c>
      <c r="I1993" t="n">
        <v>0.2897461275895266</v>
      </c>
      <c r="J1993" t="n">
        <v>0.5437378305706367</v>
      </c>
      <c r="K1993" t="n">
        <v>0.0349198970248123</v>
      </c>
      <c r="L1993" t="b">
        <v>0</v>
      </c>
      <c r="M1993" t="b">
        <v>0</v>
      </c>
      <c r="N1993" t="inlineStr">
        <is>
          <t>ref</t>
        </is>
      </c>
      <c r="O1993" t="n">
        <v>-100</v>
      </c>
      <c r="P1993" t="n">
        <v>0.00393</v>
      </c>
      <c r="Q1993" t="n">
        <v>75</v>
      </c>
      <c r="R1993" t="n">
        <v>0.04272</v>
      </c>
      <c r="S1993">
        <f>IMAGE("https://mitra.stanford.edu/kundaje/oak/projects/neuro-variants/variant_position/credible/roussos_2024/variant_figures/roussos_2024.childhood.GLU/rs75138150_count_position.png",4,220,900)</f>
        <v/>
      </c>
      <c r="T1993">
        <f>IMAGE("https://mitra.stanford.edu/kundaje/oak/projects/neuro-variants/variant_position/credible/roussos_2024/variant_figures/roussos_2024.childhood.GLU/rs75138150_profile_position.png",4,220,900)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0.0572911226</v>
      </c>
      <c r="G1994" t="n">
        <v>0.1395743781636176</v>
      </c>
      <c r="H1994" t="n">
        <v>0.0207163988109371</v>
      </c>
      <c r="I1994" t="n">
        <v>0.0887758099448224</v>
      </c>
      <c r="J1994" t="n">
        <v>0.7992541234405102</v>
      </c>
      <c r="K1994" t="n">
        <v>0.0072657346301933</v>
      </c>
      <c r="L1994" t="b">
        <v>0</v>
      </c>
      <c r="M1994" t="b">
        <v>0</v>
      </c>
      <c r="N1994" t="inlineStr">
        <is>
          <t>alt</t>
        </is>
      </c>
      <c r="O1994" t="n">
        <v>-100</v>
      </c>
      <c r="P1994" t="n">
        <v>0.011406</v>
      </c>
      <c r="Q1994" t="n">
        <v>-55</v>
      </c>
      <c r="R1994" t="n">
        <v>0.02771</v>
      </c>
      <c r="S1994">
        <f>IMAGE("https://mitra.stanford.edu/kundaje/oak/projects/neuro-variants/variant_position/credible/roussos_2024/variant_figures/roussos_2024.childhood.GLU/rs141958336_count_position.png",4,220,900)</f>
        <v/>
      </c>
      <c r="T1994">
        <f>IMAGE("https://mitra.stanford.edu/kundaje/oak/projects/neuro-variants/variant_position/credible/roussos_2024/variant_figures/roussos_2024.childhood.GLU/rs141958336_profile_position.png",4,220,900)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0.08518453099999999</v>
      </c>
      <c r="G1995" t="n">
        <v>0.0697722204548223</v>
      </c>
      <c r="H1995" t="n">
        <v>0.0260697269768748</v>
      </c>
      <c r="I1995" t="n">
        <v>0.0390403310500284</v>
      </c>
      <c r="J1995" t="n">
        <v>0.6022324785972575</v>
      </c>
      <c r="K1995" t="n">
        <v>0.0265067239105019</v>
      </c>
      <c r="L1995" t="b">
        <v>0</v>
      </c>
      <c r="M1995" t="b">
        <v>0</v>
      </c>
      <c r="N1995" t="inlineStr">
        <is>
          <t>alt</t>
        </is>
      </c>
      <c r="O1995" t="n">
        <v>-100</v>
      </c>
      <c r="P1995" t="n">
        <v>0.00864</v>
      </c>
      <c r="Q1995" t="n">
        <v>-100</v>
      </c>
      <c r="R1995" t="n">
        <v>0.0344</v>
      </c>
      <c r="S1995">
        <f>IMAGE("https://mitra.stanford.edu/kundaje/oak/projects/neuro-variants/variant_position/credible/roussos_2024/variant_figures/roussos_2024.childhood.GLU/rs111785160_count_position.png",4,220,900)</f>
        <v/>
      </c>
      <c r="T1995">
        <f>IMAGE("https://mitra.stanford.edu/kundaje/oak/projects/neuro-variants/variant_position/credible/roussos_2024/variant_figures/roussos_2024.childhood.GLU/rs111785160_profile_position.png",4,220,900)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-0.0354925254</v>
      </c>
      <c r="G1996" t="n">
        <v>0.2851789788927191</v>
      </c>
      <c r="H1996" t="n">
        <v>0.0124378331396332</v>
      </c>
      <c r="I1996" t="n">
        <v>0.4147911477670157</v>
      </c>
      <c r="J1996" t="n">
        <v>0.5943667775866154</v>
      </c>
      <c r="K1996" t="n">
        <v>0.027474887222376</v>
      </c>
      <c r="L1996" t="b">
        <v>0</v>
      </c>
      <c r="M1996" t="b">
        <v>0</v>
      </c>
      <c r="N1996" t="inlineStr">
        <is>
          <t>ref</t>
        </is>
      </c>
      <c r="O1996" t="n">
        <v>80</v>
      </c>
      <c r="P1996" t="n">
        <v>0.001678</v>
      </c>
      <c r="Q1996" t="n">
        <v>-50</v>
      </c>
      <c r="R1996" t="n">
        <v>0.1185</v>
      </c>
      <c r="S1996">
        <f>IMAGE("https://mitra.stanford.edu/kundaje/oak/projects/neuro-variants/variant_position/credible/roussos_2024/variant_figures/roussos_2024.childhood.GLU/rs77188636_count_position.png",4,220,900)</f>
        <v/>
      </c>
      <c r="T1996">
        <f>IMAGE("https://mitra.stanford.edu/kundaje/oak/projects/neuro-variants/variant_position/credible/roussos_2024/variant_figures/roussos_2024.childhood.GLU/rs77188636_profile_position.png",4,220,900)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-0.111294238</v>
      </c>
      <c r="G1997" t="n">
        <v>0.0401658216895687</v>
      </c>
      <c r="H1997" t="n">
        <v>0.0135924509841046</v>
      </c>
      <c r="I1997" t="n">
        <v>0.3345214645553252</v>
      </c>
      <c r="J1997" t="n">
        <v>0.2657473703730412</v>
      </c>
      <c r="K1997" t="n">
        <v>0.1122856471850546</v>
      </c>
      <c r="L1997" t="b">
        <v>0</v>
      </c>
      <c r="M1997" t="b">
        <v>0</v>
      </c>
      <c r="N1997" t="inlineStr">
        <is>
          <t>ref</t>
        </is>
      </c>
      <c r="O1997" t="n">
        <v>100</v>
      </c>
      <c r="P1997" t="n">
        <v>0.013626</v>
      </c>
      <c r="Q1997" t="n">
        <v>20</v>
      </c>
      <c r="R1997" t="n">
        <v>0.02411</v>
      </c>
      <c r="S1997">
        <f>IMAGE("https://mitra.stanford.edu/kundaje/oak/projects/neuro-variants/variant_position/credible/roussos_2024/variant_figures/roussos_2024.childhood.GLU/rs62119705_count_position.png",4,220,900)</f>
        <v/>
      </c>
      <c r="T1997">
        <f>IMAGE("https://mitra.stanford.edu/kundaje/oak/projects/neuro-variants/variant_position/credible/roussos_2024/variant_figures/roussos_2024.childhood.GLU/rs62119705_profile_position.png",4,220,900)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-0.0195942167999999</v>
      </c>
      <c r="G1998" t="n">
        <v>0.4829920116933562</v>
      </c>
      <c r="H1998" t="n">
        <v>0.0127088308329681</v>
      </c>
      <c r="I1998" t="n">
        <v>0.3980058796027091</v>
      </c>
      <c r="J1998" t="n">
        <v>0.3387330400651097</v>
      </c>
      <c r="K1998" t="n">
        <v>0.0827515571916914</v>
      </c>
      <c r="L1998" t="b">
        <v>0</v>
      </c>
      <c r="M1998" t="b">
        <v>0</v>
      </c>
      <c r="N1998" t="inlineStr">
        <is>
          <t>ref</t>
        </is>
      </c>
      <c r="O1998" t="n">
        <v>100</v>
      </c>
      <c r="P1998" t="n">
        <v>0.0677</v>
      </c>
      <c r="Q1998" t="n">
        <v>-100</v>
      </c>
      <c r="R1998" t="n">
        <v>0.06304999999999999</v>
      </c>
      <c r="S1998">
        <f>IMAGE("https://mitra.stanford.edu/kundaje/oak/projects/neuro-variants/variant_position/credible/roussos_2024/variant_figures/roussos_2024.childhood.GLU/rs4807003_count_position.png",4,220,900)</f>
        <v/>
      </c>
      <c r="T1998">
        <f>IMAGE("https://mitra.stanford.edu/kundaje/oak/projects/neuro-variants/variant_position/credible/roussos_2024/variant_figures/roussos_2024.childhood.GLU/rs4807003_profile_position.png",4,220,900)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-0.0145289355899999</v>
      </c>
      <c r="G1999" t="n">
        <v>0.5882274186860568</v>
      </c>
      <c r="H1999" t="n">
        <v>0.0100510082486819</v>
      </c>
      <c r="I1999" t="n">
        <v>0.6600589144131809</v>
      </c>
      <c r="J1999" t="n">
        <v>0.055388546055817</v>
      </c>
      <c r="K1999" t="n">
        <v>0.3311170321242306</v>
      </c>
      <c r="L1999" t="b">
        <v>0</v>
      </c>
      <c r="M1999" t="b">
        <v>0</v>
      </c>
      <c r="N1999" t="inlineStr">
        <is>
          <t>ref</t>
        </is>
      </c>
      <c r="O1999" t="n">
        <v>70</v>
      </c>
      <c r="P1999" t="n">
        <v>0.008484</v>
      </c>
      <c r="Q1999" t="n">
        <v>-10</v>
      </c>
      <c r="R1999" t="n">
        <v>0.010925</v>
      </c>
      <c r="S1999">
        <f>IMAGE("https://mitra.stanford.edu/kundaje/oak/projects/neuro-variants/variant_position/credible/roussos_2024/variant_figures/roussos_2024.childhood.GLU/rs35502362_count_position.png",4,220,900)</f>
        <v/>
      </c>
      <c r="T1999">
        <f>IMAGE("https://mitra.stanford.edu/kundaje/oak/projects/neuro-variants/variant_position/credible/roussos_2024/variant_figures/roussos_2024.childhood.GLU/rs35502362_profile_position.png",4,220,900)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-0.0814307212</v>
      </c>
      <c r="G2000" t="n">
        <v>0.08356499542624091</v>
      </c>
      <c r="H2000" t="n">
        <v>0.0126687223592013</v>
      </c>
      <c r="I2000" t="n">
        <v>0.3851989783770307</v>
      </c>
      <c r="J2000" t="n">
        <v>0.3434782160775547</v>
      </c>
      <c r="K2000" t="n">
        <v>0.0813687150565654</v>
      </c>
      <c r="L2000" t="b">
        <v>0</v>
      </c>
      <c r="M2000" t="b">
        <v>0</v>
      </c>
      <c r="N2000" t="inlineStr">
        <is>
          <t>ref</t>
        </is>
      </c>
      <c r="O2000" t="n">
        <v>-95</v>
      </c>
      <c r="P2000" t="n">
        <v>0.001976</v>
      </c>
      <c r="Q2000" t="n">
        <v>85</v>
      </c>
      <c r="R2000" t="n">
        <v>0.06519999999999999</v>
      </c>
      <c r="S2000">
        <f>IMAGE("https://mitra.stanford.edu/kundaje/oak/projects/neuro-variants/variant_position/credible/roussos_2024/variant_figures/roussos_2024.childhood.GLU/rs34009962_count_position.png",4,220,900)</f>
        <v/>
      </c>
      <c r="T2000">
        <f>IMAGE("https://mitra.stanford.edu/kundaje/oak/projects/neuro-variants/variant_position/credible/roussos_2024/variant_figures/roussos_2024.childhood.GLU/rs34009962_profile_position.png",4,220,900)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0.0636083141999999</v>
      </c>
      <c r="G2001" t="n">
        <v>0.1159980799163169</v>
      </c>
      <c r="H2001" t="n">
        <v>0.018155968393058</v>
      </c>
      <c r="I2001" t="n">
        <v>0.136102424819776</v>
      </c>
      <c r="J2001" t="n">
        <v>0.1293477700969433</v>
      </c>
      <c r="K2001" t="n">
        <v>0.213297591899466</v>
      </c>
      <c r="L2001" t="b">
        <v>0</v>
      </c>
      <c r="M2001" t="b">
        <v>0</v>
      </c>
      <c r="N2001" t="inlineStr">
        <is>
          <t>alt</t>
        </is>
      </c>
      <c r="O2001" t="n">
        <v>-90</v>
      </c>
      <c r="P2001" t="n">
        <v>0.01746</v>
      </c>
      <c r="Q2001" t="n">
        <v>-100</v>
      </c>
      <c r="R2001" t="n">
        <v>0.0592</v>
      </c>
      <c r="S2001">
        <f>IMAGE("https://mitra.stanford.edu/kundaje/oak/projects/neuro-variants/variant_position/credible/roussos_2024/variant_figures/roussos_2024.childhood.GLU/rs113848170_count_position.png",4,220,900)</f>
        <v/>
      </c>
      <c r="T2001">
        <f>IMAGE("https://mitra.stanford.edu/kundaje/oak/projects/neuro-variants/variant_position/credible/roussos_2024/variant_figures/roussos_2024.childhood.GLU/rs113848170_profile_position.png",4,220,900)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0.0036329698199999</v>
      </c>
      <c r="G2002" t="n">
        <v>0.8074544987550041</v>
      </c>
      <c r="H2002" t="n">
        <v>0.0375149496775491</v>
      </c>
      <c r="I2002" t="n">
        <v>0.008644447448387899</v>
      </c>
      <c r="J2002" t="n">
        <v>0.0238484757950693</v>
      </c>
      <c r="K2002" t="n">
        <v>0.4647935657005472</v>
      </c>
      <c r="L2002" t="b">
        <v>1</v>
      </c>
      <c r="M2002" t="b">
        <v>0</v>
      </c>
      <c r="N2002" t="inlineStr">
        <is>
          <t>alt</t>
        </is>
      </c>
      <c r="O2002" t="n">
        <v>75</v>
      </c>
      <c r="P2002" t="n">
        <v>0.01309</v>
      </c>
      <c r="Q2002" t="n">
        <v>-100</v>
      </c>
      <c r="R2002" t="n">
        <v>0.0321</v>
      </c>
      <c r="S2002">
        <f>IMAGE("https://mitra.stanford.edu/kundaje/oak/projects/neuro-variants/variant_position/credible/roussos_2024/variant_figures/roussos_2024.childhood.GLU/rs34538000_count_position.png",4,220,900)</f>
        <v/>
      </c>
      <c r="T2002">
        <f>IMAGE("https://mitra.stanford.edu/kundaje/oak/projects/neuro-variants/variant_position/credible/roussos_2024/variant_figures/roussos_2024.childhood.GLU/rs34538000_profile_position.png",4,220,900)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0.1511887672</v>
      </c>
      <c r="G2003" t="n">
        <v>0.0205195682027845</v>
      </c>
      <c r="H2003" t="n">
        <v>0.0217396562746316</v>
      </c>
      <c r="I2003" t="n">
        <v>0.0793056867695687</v>
      </c>
      <c r="J2003" t="n">
        <v>0.0589633964169078</v>
      </c>
      <c r="K2003" t="n">
        <v>0.3273004094430569</v>
      </c>
      <c r="L2003" t="b">
        <v>0</v>
      </c>
      <c r="M2003" t="b">
        <v>0</v>
      </c>
      <c r="N2003" t="inlineStr">
        <is>
          <t>alt</t>
        </is>
      </c>
      <c r="O2003" t="n">
        <v>85</v>
      </c>
      <c r="P2003" t="n">
        <v>0.01675</v>
      </c>
      <c r="Q2003" t="n">
        <v>10</v>
      </c>
      <c r="R2003" t="n">
        <v>0.05798</v>
      </c>
      <c r="S2003">
        <f>IMAGE("https://mitra.stanford.edu/kundaje/oak/projects/neuro-variants/variant_position/credible/roussos_2024/variant_figures/roussos_2024.childhood.GLU/rs2965180_count_position.png",4,220,900)</f>
        <v/>
      </c>
      <c r="T2003">
        <f>IMAGE("https://mitra.stanford.edu/kundaje/oak/projects/neuro-variants/variant_position/credible/roussos_2024/variant_figures/roussos_2024.childhood.GLU/rs2965180_profile_position.png",4,220,900)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0.0382616222</v>
      </c>
      <c r="G2004" t="n">
        <v>0.2539847285619914</v>
      </c>
      <c r="H2004" t="n">
        <v>0.0109927383359225</v>
      </c>
      <c r="I2004" t="n">
        <v>0.545708906452064</v>
      </c>
      <c r="J2004" t="n">
        <v>0.3352241235435317</v>
      </c>
      <c r="K2004" t="n">
        <v>0.0836404862991926</v>
      </c>
      <c r="L2004" t="b">
        <v>0</v>
      </c>
      <c r="M2004" t="b">
        <v>0</v>
      </c>
      <c r="N2004" t="inlineStr">
        <is>
          <t>alt</t>
        </is>
      </c>
      <c r="O2004" t="n">
        <v>-80</v>
      </c>
      <c r="P2004" t="n">
        <v>0.00979</v>
      </c>
      <c r="Q2004" t="n">
        <v>-85</v>
      </c>
      <c r="R2004" t="n">
        <v>0.06616</v>
      </c>
      <c r="S2004">
        <f>IMAGE("https://mitra.stanford.edu/kundaje/oak/projects/neuro-variants/variant_position/credible/roussos_2024/variant_figures/roussos_2024.childhood.GLU/rs2916073_count_position.png",4,220,900)</f>
        <v/>
      </c>
      <c r="T2004">
        <f>IMAGE("https://mitra.stanford.edu/kundaje/oak/projects/neuro-variants/variant_position/credible/roussos_2024/variant_figures/roussos_2024.childhood.GLU/rs2916073_profile_position.png",4,220,900)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0.0821325988</v>
      </c>
      <c r="G2005" t="n">
        <v>0.0665055586908944</v>
      </c>
      <c r="H2005" t="n">
        <v>0.0143095746861614</v>
      </c>
      <c r="I2005" t="n">
        <v>0.283277885147126</v>
      </c>
      <c r="J2005" t="n">
        <v>0.2593198512367745</v>
      </c>
      <c r="K2005" t="n">
        <v>0.115631493825441</v>
      </c>
      <c r="L2005" t="b">
        <v>0</v>
      </c>
      <c r="M2005" t="b">
        <v>0</v>
      </c>
      <c r="N2005" t="inlineStr">
        <is>
          <t>alt</t>
        </is>
      </c>
      <c r="O2005" t="n">
        <v>85</v>
      </c>
      <c r="P2005" t="n">
        <v>0.003883</v>
      </c>
      <c r="Q2005" t="n">
        <v>15</v>
      </c>
      <c r="R2005" t="n">
        <v>0.013794</v>
      </c>
      <c r="S2005">
        <f>IMAGE("https://mitra.stanford.edu/kundaje/oak/projects/neuro-variants/variant_position/credible/roussos_2024/variant_figures/roussos_2024.childhood.GLU/rs1469713_count_position.png",4,220,900)</f>
        <v/>
      </c>
      <c r="T2005">
        <f>IMAGE("https://mitra.stanford.edu/kundaje/oak/projects/neuro-variants/variant_position/credible/roussos_2024/variant_figures/roussos_2024.childhood.GLU/rs1469713_profile_position.png",4,220,900)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0.0171409602</v>
      </c>
      <c r="G2006" t="n">
        <v>0.2582646849094048</v>
      </c>
      <c r="H2006" t="n">
        <v>0.0138184342264418</v>
      </c>
      <c r="I2006" t="n">
        <v>0.315137667487662</v>
      </c>
      <c r="J2006" t="n">
        <v>0.1355084632264311</v>
      </c>
      <c r="K2006" t="n">
        <v>0.2042988550895818</v>
      </c>
      <c r="L2006" t="b">
        <v>0</v>
      </c>
      <c r="M2006" t="b">
        <v>0</v>
      </c>
      <c r="N2006" t="inlineStr">
        <is>
          <t>alt</t>
        </is>
      </c>
      <c r="O2006" t="n">
        <v>-95</v>
      </c>
      <c r="P2006" t="n">
        <v>0.02164</v>
      </c>
      <c r="Q2006" t="n">
        <v>5</v>
      </c>
      <c r="R2006" t="n">
        <v>0.006104</v>
      </c>
      <c r="S2006">
        <f>IMAGE("https://mitra.stanford.edu/kundaje/oak/projects/neuro-variants/variant_position/credible/roussos_2024/variant_figures/roussos_2024.childhood.GLU/rs10405625_count_position.png",4,220,900)</f>
        <v/>
      </c>
      <c r="T2006">
        <f>IMAGE("https://mitra.stanford.edu/kundaje/oak/projects/neuro-variants/variant_position/credible/roussos_2024/variant_figures/roussos_2024.childhood.GLU/rs10405625_profile_position.png",4,220,900)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0.0611616368</v>
      </c>
      <c r="G2007" t="n">
        <v>0.1220739249849927</v>
      </c>
      <c r="H2007" t="n">
        <v>0.0122972747770227</v>
      </c>
      <c r="I2007" t="n">
        <v>0.4239450729451782</v>
      </c>
      <c r="J2007" t="n">
        <v>0.4362522793534363</v>
      </c>
      <c r="K2007" t="n">
        <v>0.0555373338412276</v>
      </c>
      <c r="L2007" t="b">
        <v>0</v>
      </c>
      <c r="M2007" t="b">
        <v>0</v>
      </c>
      <c r="N2007" t="inlineStr">
        <is>
          <t>alt</t>
        </is>
      </c>
      <c r="O2007" t="n">
        <v>50</v>
      </c>
      <c r="P2007" t="n">
        <v>0.001761</v>
      </c>
      <c r="Q2007" t="n">
        <v>65</v>
      </c>
      <c r="R2007" t="n">
        <v>0.1637</v>
      </c>
      <c r="S2007">
        <f>IMAGE("https://mitra.stanford.edu/kundaje/oak/projects/neuro-variants/variant_position/credible/roussos_2024/variant_figures/roussos_2024.childhood.GLU/rs3752151_count_position.png",4,220,900)</f>
        <v/>
      </c>
      <c r="T2007">
        <f>IMAGE("https://mitra.stanford.edu/kundaje/oak/projects/neuro-variants/variant_position/credible/roussos_2024/variant_figures/roussos_2024.childhood.GLU/rs3752151_profile_position.png",4,220,900)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0.1310594219999999</v>
      </c>
      <c r="G2008" t="n">
        <v>0.0240246435456234</v>
      </c>
      <c r="H2008" t="n">
        <v>0.0145580955802319</v>
      </c>
      <c r="I2008" t="n">
        <v>0.2656028898693794</v>
      </c>
      <c r="J2008" t="n">
        <v>0.3672823925742013</v>
      </c>
      <c r="K2008" t="n">
        <v>0.0737158982504318</v>
      </c>
      <c r="L2008" t="b">
        <v>0</v>
      </c>
      <c r="M2008" t="b">
        <v>0</v>
      </c>
      <c r="N2008" t="inlineStr">
        <is>
          <t>alt</t>
        </is>
      </c>
      <c r="O2008" t="n">
        <v>70</v>
      </c>
      <c r="P2008" t="n">
        <v>0.00537</v>
      </c>
      <c r="Q2008" t="n">
        <v>-10</v>
      </c>
      <c r="R2008" t="n">
        <v>0.03955</v>
      </c>
      <c r="S2008">
        <f>IMAGE("https://mitra.stanford.edu/kundaje/oak/projects/neuro-variants/variant_position/credible/roussos_2024/variant_figures/roussos_2024.childhood.GLU/rs10282_count_position.png",4,220,900)</f>
        <v/>
      </c>
      <c r="T2008">
        <f>IMAGE("https://mitra.stanford.edu/kundaje/oak/projects/neuro-variants/variant_position/credible/roussos_2024/variant_figures/roussos_2024.childhood.GLU/rs10282_profile_position.png",4,220,900)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-0.002487971482</v>
      </c>
      <c r="G2009" t="n">
        <v>0.8350500045139306</v>
      </c>
      <c r="H2009" t="n">
        <v>0.0283446626238872</v>
      </c>
      <c r="I2009" t="n">
        <v>0.0264833315472106</v>
      </c>
      <c r="J2009" t="n">
        <v>0.0353868977098292</v>
      </c>
      <c r="K2009" t="n">
        <v>0.4003518139848177</v>
      </c>
      <c r="L2009" t="b">
        <v>0</v>
      </c>
      <c r="M2009" t="b">
        <v>0</v>
      </c>
      <c r="N2009" t="inlineStr">
        <is>
          <t>ref</t>
        </is>
      </c>
      <c r="O2009" t="n">
        <v>-55</v>
      </c>
      <c r="P2009" t="n">
        <v>0.006744</v>
      </c>
      <c r="Q2009" t="n">
        <v>40</v>
      </c>
      <c r="R2009" t="n">
        <v>0.0674</v>
      </c>
      <c r="S2009">
        <f>IMAGE("https://mitra.stanford.edu/kundaje/oak/projects/neuro-variants/variant_position/credible/roussos_2024/variant_figures/roussos_2024.childhood.GLU/rs7253807_count_position.png",4,220,900)</f>
        <v/>
      </c>
      <c r="T2009">
        <f>IMAGE("https://mitra.stanford.edu/kundaje/oak/projects/neuro-variants/variant_position/credible/roussos_2024/variant_figures/roussos_2024.childhood.GLU/rs7253807_profile_position.png",4,220,900)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0.00132747932</v>
      </c>
      <c r="G2010" t="n">
        <v>0.8350589618825145</v>
      </c>
      <c r="H2010" t="n">
        <v>0.0100485106043007</v>
      </c>
      <c r="I2010" t="n">
        <v>0.64812342245238</v>
      </c>
      <c r="J2010" t="n">
        <v>0.5897720131455593</v>
      </c>
      <c r="K2010" t="n">
        <v>0.0279923631523398</v>
      </c>
      <c r="L2010" t="b">
        <v>0</v>
      </c>
      <c r="M2010" t="b">
        <v>0</v>
      </c>
      <c r="N2010" t="inlineStr">
        <is>
          <t>alt</t>
        </is>
      </c>
      <c r="O2010" t="n">
        <v>35</v>
      </c>
      <c r="P2010" t="n">
        <v>0.002811</v>
      </c>
      <c r="Q2010" t="n">
        <v>-80</v>
      </c>
      <c r="R2010" t="n">
        <v>0.04193</v>
      </c>
      <c r="S2010">
        <f>IMAGE("https://mitra.stanford.edu/kundaje/oak/projects/neuro-variants/variant_position/credible/roussos_2024/variant_figures/roussos_2024.childhood.GLU/rs7245983_count_position.png",4,220,900)</f>
        <v/>
      </c>
      <c r="T2010">
        <f>IMAGE("https://mitra.stanford.edu/kundaje/oak/projects/neuro-variants/variant_position/credible/roussos_2024/variant_figures/roussos_2024.childhood.GLU/rs7245983_profile_position.png",4,220,900)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0.0096683447</v>
      </c>
      <c r="G2011" t="n">
        <v>0.6651888008647667</v>
      </c>
      <c r="H2011" t="n">
        <v>0.0140074187320251</v>
      </c>
      <c r="I2011" t="n">
        <v>0.3100520935671092</v>
      </c>
      <c r="J2011" t="n">
        <v>0.1706872572552978</v>
      </c>
      <c r="K2011" t="n">
        <v>0.1742325517747504</v>
      </c>
      <c r="L2011" t="b">
        <v>0</v>
      </c>
      <c r="M2011" t="b">
        <v>0</v>
      </c>
      <c r="N2011" t="inlineStr">
        <is>
          <t>alt</t>
        </is>
      </c>
      <c r="O2011" t="n">
        <v>-70</v>
      </c>
      <c r="P2011" t="n">
        <v>0.001949</v>
      </c>
      <c r="Q2011" t="n">
        <v>95</v>
      </c>
      <c r="R2011" t="n">
        <v>0.1035</v>
      </c>
      <c r="S2011">
        <f>IMAGE("https://mitra.stanford.edu/kundaje/oak/projects/neuro-variants/variant_position/credible/roussos_2024/variant_figures/roussos_2024.childhood.GLU/rs2053079_count_position.png",4,220,900)</f>
        <v/>
      </c>
      <c r="T2011">
        <f>IMAGE("https://mitra.stanford.edu/kundaje/oak/projects/neuro-variants/variant_position/credible/roussos_2024/variant_figures/roussos_2024.childhood.GLU/rs2053079_profile_position.png",4,220,900)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0.0575352794</v>
      </c>
      <c r="G2012" t="n">
        <v>0.1378861456845179</v>
      </c>
      <c r="H2012" t="n">
        <v>0.0136905960695344</v>
      </c>
      <c r="I2012" t="n">
        <v>0.3247364357643649</v>
      </c>
      <c r="J2012" t="n">
        <v>0.1518167863434534</v>
      </c>
      <c r="K2012" t="n">
        <v>0.1913813253006592</v>
      </c>
      <c r="L2012" t="b">
        <v>0</v>
      </c>
      <c r="M2012" t="b">
        <v>0</v>
      </c>
      <c r="N2012" t="inlineStr">
        <is>
          <t>alt</t>
        </is>
      </c>
      <c r="O2012" t="n">
        <v>-65</v>
      </c>
      <c r="P2012" t="n">
        <v>0.003508</v>
      </c>
      <c r="Q2012" t="n">
        <v>-100</v>
      </c>
      <c r="R2012" t="n">
        <v>0.08740000000000001</v>
      </c>
      <c r="S2012">
        <f>IMAGE("https://mitra.stanford.edu/kundaje/oak/projects/neuro-variants/variant_position/credible/roussos_2024/variant_figures/roussos_2024.childhood.GLU/rs2075419_count_position.png",4,220,900)</f>
        <v/>
      </c>
      <c r="T2012">
        <f>IMAGE("https://mitra.stanford.edu/kundaje/oak/projects/neuro-variants/variant_position/credible/roussos_2024/variant_figures/roussos_2024.childhood.GLU/rs2075419_profile_position.png",4,220,900)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0.009733928459999999</v>
      </c>
      <c r="G2013" t="n">
        <v>0.561986818634224</v>
      </c>
      <c r="H2013" t="n">
        <v>0.0276419397408719</v>
      </c>
      <c r="I2013" t="n">
        <v>0.0292901916006714</v>
      </c>
      <c r="J2013" t="n">
        <v>0.1325908908279847</v>
      </c>
      <c r="K2013" t="n">
        <v>0.2090627381800206</v>
      </c>
      <c r="L2013" t="b">
        <v>0</v>
      </c>
      <c r="M2013" t="b">
        <v>0</v>
      </c>
      <c r="N2013" t="inlineStr">
        <is>
          <t>alt</t>
        </is>
      </c>
      <c r="O2013" t="n">
        <v>65</v>
      </c>
      <c r="P2013" t="n">
        <v>0.01166</v>
      </c>
      <c r="Q2013" t="n">
        <v>-100</v>
      </c>
      <c r="R2013" t="n">
        <v>0.02448</v>
      </c>
      <c r="S2013">
        <f>IMAGE("https://mitra.stanford.edu/kundaje/oak/projects/neuro-variants/variant_position/credible/roussos_2024/variant_figures/roussos_2024.childhood.GLU/rs10411290_count_position.png",4,220,900)</f>
        <v/>
      </c>
      <c r="T2013">
        <f>IMAGE("https://mitra.stanford.edu/kundaje/oak/projects/neuro-variants/variant_position/credible/roussos_2024/variant_figures/roussos_2024.childhood.GLU/rs10411290_profile_position.png",4,220,900)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0.00566899424</v>
      </c>
      <c r="G2014" t="n">
        <v>0.7674170666998846</v>
      </c>
      <c r="H2014" t="n">
        <v>0.0171466336025</v>
      </c>
      <c r="I2014" t="n">
        <v>0.17353034514107</v>
      </c>
      <c r="J2014" t="n">
        <v>0.0429352921178154</v>
      </c>
      <c r="K2014" t="n">
        <v>0.3793893137047188</v>
      </c>
      <c r="L2014" t="b">
        <v>0</v>
      </c>
      <c r="M2014" t="b">
        <v>0</v>
      </c>
      <c r="N2014" t="inlineStr">
        <is>
          <t>alt</t>
        </is>
      </c>
      <c r="O2014" t="n">
        <v>100</v>
      </c>
      <c r="P2014" t="n">
        <v>0.001915</v>
      </c>
      <c r="Q2014" t="n">
        <v>5</v>
      </c>
      <c r="R2014" t="n">
        <v>0.001831</v>
      </c>
      <c r="S2014">
        <f>IMAGE("https://mitra.stanford.edu/kundaje/oak/projects/neuro-variants/variant_position/credible/roussos_2024/variant_figures/roussos_2024.childhood.GLU/rs3786795_count_position.png",4,220,900)</f>
        <v/>
      </c>
      <c r="T2014">
        <f>IMAGE("https://mitra.stanford.edu/kundaje/oak/projects/neuro-variants/variant_position/credible/roussos_2024/variant_figures/roussos_2024.childhood.GLU/rs3786795_profile_position.png",4,220,900)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0.027752329</v>
      </c>
      <c r="G2015" t="n">
        <v>0.3553363350021463</v>
      </c>
      <c r="H2015" t="n">
        <v>0.0089612677262422</v>
      </c>
      <c r="I2015" t="n">
        <v>0.7775944611234574</v>
      </c>
      <c r="J2015" t="n">
        <v>0.3674400156592868</v>
      </c>
      <c r="K2015" t="n">
        <v>0.0733365734086793</v>
      </c>
      <c r="L2015" t="b">
        <v>0</v>
      </c>
      <c r="M2015" t="b">
        <v>0</v>
      </c>
      <c r="N2015" t="inlineStr">
        <is>
          <t>alt</t>
        </is>
      </c>
      <c r="O2015" t="n">
        <v>100</v>
      </c>
      <c r="P2015" t="n">
        <v>0.004692</v>
      </c>
      <c r="Q2015" t="n">
        <v>-35</v>
      </c>
      <c r="R2015" t="n">
        <v>0.01685</v>
      </c>
      <c r="S2015">
        <f>IMAGE("https://mitra.stanford.edu/kundaje/oak/projects/neuro-variants/variant_position/credible/roussos_2024/variant_figures/roussos_2024.childhood.GLU/rs4303654_count_position.png",4,220,900)</f>
        <v/>
      </c>
      <c r="T2015">
        <f>IMAGE("https://mitra.stanford.edu/kundaje/oak/projects/neuro-variants/variant_position/credible/roussos_2024/variant_figures/roussos_2024.childhood.GLU/rs4303654_profile_position.png",4,220,900)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0.0575155188</v>
      </c>
      <c r="G2016" t="n">
        <v>0.1357891832602331</v>
      </c>
      <c r="H2016" t="n">
        <v>0.0145591917960977</v>
      </c>
      <c r="I2016" t="n">
        <v>0.2648344109151207</v>
      </c>
      <c r="J2016" t="n">
        <v>0.5271843159879258</v>
      </c>
      <c r="K2016" t="n">
        <v>0.0373226922695099</v>
      </c>
      <c r="L2016" t="b">
        <v>0</v>
      </c>
      <c r="M2016" t="b">
        <v>0</v>
      </c>
      <c r="N2016" t="inlineStr">
        <is>
          <t>alt</t>
        </is>
      </c>
      <c r="O2016" t="n">
        <v>-80</v>
      </c>
      <c r="P2016" t="n">
        <v>0.00544</v>
      </c>
      <c r="Q2016" t="n">
        <v>-75</v>
      </c>
      <c r="R2016" t="n">
        <v>0.04517</v>
      </c>
      <c r="S2016">
        <f>IMAGE("https://mitra.stanford.edu/kundaje/oak/projects/neuro-variants/variant_position/credible/roussos_2024/variant_figures/roussos_2024.childhood.GLU/rs142436687_count_position.png",4,220,900)</f>
        <v/>
      </c>
      <c r="T2016">
        <f>IMAGE("https://mitra.stanford.edu/kundaje/oak/projects/neuro-variants/variant_position/credible/roussos_2024/variant_figures/roussos_2024.childhood.GLU/rs142436687_profile_position.png",4,220,900)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-0.0156482675599999</v>
      </c>
      <c r="G2017" t="n">
        <v>0.5500981431185217</v>
      </c>
      <c r="H2017" t="n">
        <v>0.0109764180920008</v>
      </c>
      <c r="I2017" t="n">
        <v>0.5504100651619137</v>
      </c>
      <c r="J2017" t="n">
        <v>0.257352138213811</v>
      </c>
      <c r="K2017" t="n">
        <v>0.1156817808212734</v>
      </c>
      <c r="L2017" t="b">
        <v>0</v>
      </c>
      <c r="M2017" t="b">
        <v>0</v>
      </c>
      <c r="N2017" t="inlineStr">
        <is>
          <t>ref</t>
        </is>
      </c>
      <c r="O2017" t="n">
        <v>-45</v>
      </c>
      <c r="P2017" t="n">
        <v>0.003105</v>
      </c>
      <c r="Q2017" t="n">
        <v>50</v>
      </c>
      <c r="R2017" t="n">
        <v>0.00525</v>
      </c>
      <c r="S2017">
        <f>IMAGE("https://mitra.stanford.edu/kundaje/oak/projects/neuro-variants/variant_position/credible/roussos_2024/variant_figures/roussos_2024.childhood.GLU/rs79051716_count_position.png",4,220,900)</f>
        <v/>
      </c>
      <c r="T2017">
        <f>IMAGE("https://mitra.stanford.edu/kundaje/oak/projects/neuro-variants/variant_position/credible/roussos_2024/variant_figures/roussos_2024.childhood.GLU/rs79051716_profile_position.png",4,220,900)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-0.24096441</v>
      </c>
      <c r="G2018" t="n">
        <v>0.0042252911566951</v>
      </c>
      <c r="H2018" t="n">
        <v>0.0375526677448029</v>
      </c>
      <c r="I2018" t="n">
        <v>0.0091274262793677</v>
      </c>
      <c r="J2018" t="n">
        <v>0.4508844406440911</v>
      </c>
      <c r="K2018" t="n">
        <v>0.0521466745806124</v>
      </c>
      <c r="L2018" t="b">
        <v>1</v>
      </c>
      <c r="M2018" t="b">
        <v>1</v>
      </c>
      <c r="N2018" t="inlineStr">
        <is>
          <t>ref</t>
        </is>
      </c>
      <c r="O2018" t="n">
        <v>15</v>
      </c>
      <c r="P2018" t="n">
        <v>0.002502</v>
      </c>
      <c r="Q2018" t="n">
        <v>15</v>
      </c>
      <c r="R2018" t="n">
        <v>0.1196</v>
      </c>
      <c r="S2018">
        <f>IMAGE("https://mitra.stanford.edu/kundaje/oak/projects/neuro-variants/variant_position/credible/roussos_2024/variant_figures/roussos_2024.childhood.GLU/rs116925323_count_position.png",4,220,900)</f>
        <v/>
      </c>
      <c r="T2018">
        <f>IMAGE("https://mitra.stanford.edu/kundaje/oak/projects/neuro-variants/variant_position/credible/roussos_2024/variant_figures/roussos_2024.childhood.GLU/rs116925323_profile_position.png",4,220,900)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-0.00127261414</v>
      </c>
      <c r="G2019" t="n">
        <v>0.7866448682781086</v>
      </c>
      <c r="H2019" t="n">
        <v>0.0305504635083254</v>
      </c>
      <c r="I2019" t="n">
        <v>0.020322514439854</v>
      </c>
      <c r="J2019" t="n">
        <v>0.3629513634911968</v>
      </c>
      <c r="K2019" t="n">
        <v>0.0748931060579533</v>
      </c>
      <c r="L2019" t="b">
        <v>0</v>
      </c>
      <c r="M2019" t="b">
        <v>0</v>
      </c>
      <c r="N2019" t="inlineStr">
        <is>
          <t>ref</t>
        </is>
      </c>
      <c r="O2019" t="n">
        <v>100</v>
      </c>
      <c r="P2019" t="n">
        <v>0.01349</v>
      </c>
      <c r="Q2019" t="n">
        <v>-100</v>
      </c>
      <c r="R2019" t="n">
        <v>0.2253</v>
      </c>
      <c r="S2019">
        <f>IMAGE("https://mitra.stanford.edu/kundaje/oak/projects/neuro-variants/variant_position/credible/roussos_2024/variant_figures/roussos_2024.childhood.GLU/rs1345756_count_position.png",4,220,900)</f>
        <v/>
      </c>
      <c r="T2019">
        <f>IMAGE("https://mitra.stanford.edu/kundaje/oak/projects/neuro-variants/variant_position/credible/roussos_2024/variant_figures/roussos_2024.childhood.GLU/rs1345756_profile_position.png",4,220,900)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-0.088488266</v>
      </c>
      <c r="G2020" t="n">
        <v>0.069215585500273</v>
      </c>
      <c r="H2020" t="n">
        <v>0.0123941159825223</v>
      </c>
      <c r="I2020" t="n">
        <v>0.4144489772266377</v>
      </c>
      <c r="J2020" t="n">
        <v>0.1515860179051582</v>
      </c>
      <c r="K2020" t="n">
        <v>0.1844408087717607</v>
      </c>
      <c r="L2020" t="b">
        <v>0</v>
      </c>
      <c r="M2020" t="b">
        <v>0</v>
      </c>
      <c r="N2020" t="inlineStr">
        <is>
          <t>ref</t>
        </is>
      </c>
      <c r="O2020" t="n">
        <v>-45</v>
      </c>
      <c r="P2020" t="n">
        <v>0.00624</v>
      </c>
      <c r="Q2020" t="n">
        <v>10</v>
      </c>
      <c r="R2020" t="n">
        <v>0.01196</v>
      </c>
      <c r="S2020">
        <f>IMAGE("https://mitra.stanford.edu/kundaje/oak/projects/neuro-variants/variant_position/credible/roussos_2024/variant_figures/roussos_2024.childhood.GLU/rs77157349_count_position.png",4,220,900)</f>
        <v/>
      </c>
      <c r="T2020">
        <f>IMAGE("https://mitra.stanford.edu/kundaje/oak/projects/neuro-variants/variant_position/credible/roussos_2024/variant_figures/roussos_2024.childhood.GLU/rs77157349_profile_position.png",4,220,900)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-0.178355964</v>
      </c>
      <c r="G2021" t="n">
        <v>0.0105104457096905</v>
      </c>
      <c r="H2021" t="n">
        <v>0.0507754787089375</v>
      </c>
      <c r="I2021" t="n">
        <v>0.0025662518008352</v>
      </c>
      <c r="J2021" t="n">
        <v>0.326531158890251</v>
      </c>
      <c r="K2021" t="n">
        <v>0.0867916539806815</v>
      </c>
      <c r="L2021" t="b">
        <v>1</v>
      </c>
      <c r="M2021" t="b">
        <v>1</v>
      </c>
      <c r="N2021" t="inlineStr">
        <is>
          <t>ref</t>
        </is>
      </c>
      <c r="O2021" t="n">
        <v>-5</v>
      </c>
      <c r="P2021" t="n">
        <v>0.002136</v>
      </c>
      <c r="Q2021" t="n">
        <v>-30</v>
      </c>
      <c r="R2021" t="n">
        <v>0.021</v>
      </c>
      <c r="S2021">
        <f>IMAGE("https://mitra.stanford.edu/kundaje/oak/projects/neuro-variants/variant_position/credible/roussos_2024/variant_figures/roussos_2024.childhood.GLU/rs190662727_count_position.png",4,220,900)</f>
        <v/>
      </c>
      <c r="T2021">
        <f>IMAGE("https://mitra.stanford.edu/kundaje/oak/projects/neuro-variants/variant_position/credible/roussos_2024/variant_figures/roussos_2024.childhood.GLU/rs190662727_profile_position.png",4,220,900)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-0.0436997125999999</v>
      </c>
      <c r="G2022" t="n">
        <v>0.2237068719804134</v>
      </c>
      <c r="H2022" t="n">
        <v>0.0124014085942738</v>
      </c>
      <c r="I2022" t="n">
        <v>0.4184344672803775</v>
      </c>
      <c r="J2022" t="n">
        <v>0.5795491773723305</v>
      </c>
      <c r="K2022" t="n">
        <v>0.0294421318291975</v>
      </c>
      <c r="L2022" t="b">
        <v>0</v>
      </c>
      <c r="M2022" t="b">
        <v>0</v>
      </c>
      <c r="N2022" t="inlineStr">
        <is>
          <t>ref</t>
        </is>
      </c>
      <c r="O2022" t="n">
        <v>-5</v>
      </c>
      <c r="P2022" t="n">
        <v>9.155e-05</v>
      </c>
      <c r="Q2022" t="n">
        <v>65</v>
      </c>
      <c r="R2022" t="n">
        <v>0.03564</v>
      </c>
      <c r="S2022">
        <f>IMAGE("https://mitra.stanford.edu/kundaje/oak/projects/neuro-variants/variant_position/credible/roussos_2024/variant_figures/roussos_2024.childhood.GLU/rs35208092_count_position.png",4,220,900)</f>
        <v/>
      </c>
      <c r="T2022">
        <f>IMAGE("https://mitra.stanford.edu/kundaje/oak/projects/neuro-variants/variant_position/credible/roussos_2024/variant_figures/roussos_2024.childhood.GLU/rs35208092_profile_position.png",4,220,900)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-0.0001118687099999</v>
      </c>
      <c r="G2023" t="n">
        <v>0.8871400673655084</v>
      </c>
      <c r="H2023" t="n">
        <v>0.01933104414998</v>
      </c>
      <c r="I2023" t="n">
        <v>0.1114851478139334</v>
      </c>
      <c r="J2023" t="n">
        <v>0.2824265713373237</v>
      </c>
      <c r="K2023" t="n">
        <v>0.1039392689583218</v>
      </c>
      <c r="L2023" t="b">
        <v>0</v>
      </c>
      <c r="M2023" t="b">
        <v>0</v>
      </c>
      <c r="N2023" t="inlineStr">
        <is>
          <t>ref</t>
        </is>
      </c>
      <c r="O2023" t="n">
        <v>-15</v>
      </c>
      <c r="P2023" t="n">
        <v>0.0007935</v>
      </c>
      <c r="Q2023" t="n">
        <v>100</v>
      </c>
      <c r="R2023" t="n">
        <v>0.172</v>
      </c>
      <c r="S2023">
        <f>IMAGE("https://mitra.stanford.edu/kundaje/oak/projects/neuro-variants/variant_position/credible/roussos_2024/variant_figures/roussos_2024.childhood.GLU/rs7254613_count_position.png",4,220,900)</f>
        <v/>
      </c>
      <c r="T2023">
        <f>IMAGE("https://mitra.stanford.edu/kundaje/oak/projects/neuro-variants/variant_position/credible/roussos_2024/variant_figures/roussos_2024.childhood.GLU/rs7254613_profile_position.png",4,220,900)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0.0215774158</v>
      </c>
      <c r="G2024" t="n">
        <v>0.4248440639456897</v>
      </c>
      <c r="H2024" t="n">
        <v>0.0125388922345925</v>
      </c>
      <c r="I2024" t="n">
        <v>0.3935604271248543</v>
      </c>
      <c r="J2024" t="n">
        <v>0.4612937455571924</v>
      </c>
      <c r="K2024" t="n">
        <v>0.0501864679944604</v>
      </c>
      <c r="L2024" t="b">
        <v>0</v>
      </c>
      <c r="M2024" t="b">
        <v>0</v>
      </c>
      <c r="N2024" t="inlineStr">
        <is>
          <t>alt</t>
        </is>
      </c>
      <c r="O2024" t="n">
        <v>15</v>
      </c>
      <c r="P2024" t="n">
        <v>0.001106</v>
      </c>
      <c r="Q2024" t="n">
        <v>90</v>
      </c>
      <c r="R2024" t="n">
        <v>0.1707</v>
      </c>
      <c r="S2024">
        <f>IMAGE("https://mitra.stanford.edu/kundaje/oak/projects/neuro-variants/variant_position/credible/roussos_2024/variant_figures/roussos_2024.childhood.GLU/rs148767361_count_position.png",4,220,900)</f>
        <v/>
      </c>
      <c r="T2024">
        <f>IMAGE("https://mitra.stanford.edu/kundaje/oak/projects/neuro-variants/variant_position/credible/roussos_2024/variant_figures/roussos_2024.childhood.GLU/rs148767361_profile_position.png",4,220,900)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0.0420824184</v>
      </c>
      <c r="G2025" t="n">
        <v>0.2119446985842836</v>
      </c>
      <c r="H2025" t="n">
        <v>0.0149064281605159</v>
      </c>
      <c r="I2025" t="n">
        <v>0.2506964508322858</v>
      </c>
      <c r="J2025" t="n">
        <v>0.4234126943245386</v>
      </c>
      <c r="K2025" t="n">
        <v>0.058603983871244</v>
      </c>
      <c r="L2025" t="b">
        <v>0</v>
      </c>
      <c r="M2025" t="b">
        <v>0</v>
      </c>
      <c r="N2025" t="inlineStr">
        <is>
          <t>alt</t>
        </is>
      </c>
      <c r="O2025" t="n">
        <v>10</v>
      </c>
      <c r="P2025" t="n">
        <v>9.155e-05</v>
      </c>
      <c r="Q2025" t="n">
        <v>-45</v>
      </c>
      <c r="R2025" t="n">
        <v>0.0692</v>
      </c>
      <c r="S2025">
        <f>IMAGE("https://mitra.stanford.edu/kundaje/oak/projects/neuro-variants/variant_position/credible/roussos_2024/variant_figures/roussos_2024.childhood.GLU/rs6510386_count_position.png",4,220,900)</f>
        <v/>
      </c>
      <c r="T2025">
        <f>IMAGE("https://mitra.stanford.edu/kundaje/oak/projects/neuro-variants/variant_position/credible/roussos_2024/variant_figures/roussos_2024.childhood.GLU/rs6510386_profile_position.png",4,220,900)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-0.0701509518</v>
      </c>
      <c r="G2026" t="n">
        <v>0.1125867196096325</v>
      </c>
      <c r="H2026" t="n">
        <v>0.0184429000678041</v>
      </c>
      <c r="I2026" t="n">
        <v>0.1393110549556311</v>
      </c>
      <c r="J2026" t="n">
        <v>0.1781182070116517</v>
      </c>
      <c r="K2026" t="n">
        <v>0.1654886693168065</v>
      </c>
      <c r="L2026" t="b">
        <v>0</v>
      </c>
      <c r="M2026" t="b">
        <v>0</v>
      </c>
      <c r="N2026" t="inlineStr">
        <is>
          <t>ref</t>
        </is>
      </c>
      <c r="O2026" t="n">
        <v>50</v>
      </c>
      <c r="P2026" t="n">
        <v>0.001205</v>
      </c>
      <c r="Q2026" t="n">
        <v>-85</v>
      </c>
      <c r="R2026" t="n">
        <v>0.01862</v>
      </c>
      <c r="S2026">
        <f>IMAGE("https://mitra.stanford.edu/kundaje/oak/projects/neuro-variants/variant_position/credible/roussos_2024/variant_figures/roussos_2024.childhood.GLU/rs76144939_count_position.png",4,220,900)</f>
        <v/>
      </c>
      <c r="T2026">
        <f>IMAGE("https://mitra.stanford.edu/kundaje/oak/projects/neuro-variants/variant_position/credible/roussos_2024/variant_figures/roussos_2024.childhood.GLU/rs76144939_profile_position.png",4,220,900)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-0.1192979972</v>
      </c>
      <c r="G2027" t="n">
        <v>0.0317426398363625</v>
      </c>
      <c r="H2027" t="n">
        <v>0.0143286515854636</v>
      </c>
      <c r="I2027" t="n">
        <v>0.2862889842913103</v>
      </c>
      <c r="J2027" t="n">
        <v>0.2371238422944976</v>
      </c>
      <c r="K2027" t="n">
        <v>0.1265075874329831</v>
      </c>
      <c r="L2027" t="b">
        <v>0</v>
      </c>
      <c r="M2027" t="b">
        <v>0</v>
      </c>
      <c r="N2027" t="inlineStr">
        <is>
          <t>ref</t>
        </is>
      </c>
      <c r="O2027" t="n">
        <v>-10</v>
      </c>
      <c r="P2027" t="n">
        <v>0.014984</v>
      </c>
      <c r="Q2027" t="n">
        <v>50</v>
      </c>
      <c r="R2027" t="n">
        <v>0.1123</v>
      </c>
      <c r="S2027">
        <f>IMAGE("https://mitra.stanford.edu/kundaje/oak/projects/neuro-variants/variant_position/credible/roussos_2024/variant_figures/roussos_2024.childhood.GLU/rs10423840_count_position.png",4,220,900)</f>
        <v/>
      </c>
      <c r="T2027">
        <f>IMAGE("https://mitra.stanford.edu/kundaje/oak/projects/neuro-variants/variant_position/credible/roussos_2024/variant_figures/roussos_2024.childhood.GLU/rs10423840_profile_position.png",4,220,900)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-0.00281082382</v>
      </c>
      <c r="G2028" t="n">
        <v>0.7859040802240075</v>
      </c>
      <c r="H2028" t="n">
        <v>0.0279663259450531</v>
      </c>
      <c r="I2028" t="n">
        <v>0.0286549395857934</v>
      </c>
      <c r="J2028" t="n">
        <v>0.0011528119752335</v>
      </c>
      <c r="K2028" t="n">
        <v>0.8136458963759751</v>
      </c>
      <c r="L2028" t="b">
        <v>0</v>
      </c>
      <c r="M2028" t="b">
        <v>0</v>
      </c>
      <c r="N2028" t="inlineStr">
        <is>
          <t>ref</t>
        </is>
      </c>
      <c r="O2028" t="n">
        <v>70</v>
      </c>
      <c r="P2028" t="n">
        <v>0.02356</v>
      </c>
      <c r="Q2028" t="n">
        <v>-75</v>
      </c>
      <c r="R2028" t="n">
        <v>0.07335999999999999</v>
      </c>
      <c r="S2028">
        <f>IMAGE("https://mitra.stanford.edu/kundaje/oak/projects/neuro-variants/variant_position/credible/roussos_2024/variant_figures/roussos_2024.childhood.GLU/rs10404501_count_position.png",4,220,900)</f>
        <v/>
      </c>
      <c r="T2028">
        <f>IMAGE("https://mitra.stanford.edu/kundaje/oak/projects/neuro-variants/variant_position/credible/roussos_2024/variant_figures/roussos_2024.childhood.GLU/rs10404501_profile_position.png",4,220,900)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-0.1007841185999999</v>
      </c>
      <c r="G2029" t="n">
        <v>0.0496627204289252</v>
      </c>
      <c r="H2029" t="n">
        <v>0.0140624405506008</v>
      </c>
      <c r="I2029" t="n">
        <v>0.3013916965459138</v>
      </c>
      <c r="J2029" t="n">
        <v>0.0311022283577322</v>
      </c>
      <c r="K2029" t="n">
        <v>0.4204998795379429</v>
      </c>
      <c r="L2029" t="b">
        <v>0</v>
      </c>
      <c r="M2029" t="b">
        <v>0</v>
      </c>
      <c r="N2029" t="inlineStr">
        <is>
          <t>ref</t>
        </is>
      </c>
      <c r="O2029" t="n">
        <v>-100</v>
      </c>
      <c r="P2029" t="n">
        <v>0.015045</v>
      </c>
      <c r="Q2029" t="n">
        <v>65</v>
      </c>
      <c r="R2029" t="n">
        <v>0.02649</v>
      </c>
      <c r="S2029">
        <f>IMAGE("https://mitra.stanford.edu/kundaje/oak/projects/neuro-variants/variant_position/credible/roussos_2024/variant_figures/roussos_2024.childhood.GLU/rs12461525_count_position.png",4,220,900)</f>
        <v/>
      </c>
      <c r="T2029">
        <f>IMAGE("https://mitra.stanford.edu/kundaje/oak/projects/neuro-variants/variant_position/credible/roussos_2024/variant_figures/roussos_2024.childhood.GLU/rs12461525_profile_position.png",4,220,900)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-0.0030703039</v>
      </c>
      <c r="G2030" t="n">
        <v>0.786357857001183</v>
      </c>
      <c r="H2030" t="n">
        <v>0.0122810039808377</v>
      </c>
      <c r="I2030" t="n">
        <v>0.4270317784521433</v>
      </c>
      <c r="J2030" t="n">
        <v>0.159599039838462</v>
      </c>
      <c r="K2030" t="n">
        <v>0.1782510144856747</v>
      </c>
      <c r="L2030" t="b">
        <v>0</v>
      </c>
      <c r="M2030" t="b">
        <v>0</v>
      </c>
      <c r="N2030" t="inlineStr">
        <is>
          <t>ref</t>
        </is>
      </c>
      <c r="O2030" t="n">
        <v>-25</v>
      </c>
      <c r="P2030" t="n">
        <v>0.0005302</v>
      </c>
      <c r="Q2030" t="n">
        <v>100</v>
      </c>
      <c r="R2030" t="n">
        <v>0.187</v>
      </c>
      <c r="S2030">
        <f>IMAGE("https://mitra.stanford.edu/kundaje/oak/projects/neuro-variants/variant_position/credible/roussos_2024/variant_figures/roussos_2024.childhood.GLU/rs1476503_count_position.png",4,220,900)</f>
        <v/>
      </c>
      <c r="T2030">
        <f>IMAGE("https://mitra.stanford.edu/kundaje/oak/projects/neuro-variants/variant_position/credible/roussos_2024/variant_figures/roussos_2024.childhood.GLU/rs1476503_profile_position.png",4,220,900)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0.0056954317</v>
      </c>
      <c r="G2031" t="n">
        <v>0.7416775326376081</v>
      </c>
      <c r="H2031" t="n">
        <v>0.013006578236483</v>
      </c>
      <c r="I2031" t="n">
        <v>0.3688484280141796</v>
      </c>
      <c r="J2031" t="n">
        <v>0.1620087156294106</v>
      </c>
      <c r="K2031" t="n">
        <v>0.176016932355062</v>
      </c>
      <c r="L2031" t="b">
        <v>0</v>
      </c>
      <c r="M2031" t="b">
        <v>0</v>
      </c>
      <c r="N2031" t="inlineStr">
        <is>
          <t>alt</t>
        </is>
      </c>
      <c r="O2031" t="n">
        <v>-30</v>
      </c>
      <c r="P2031" t="n">
        <v>0.0011635</v>
      </c>
      <c r="Q2031" t="n">
        <v>100</v>
      </c>
      <c r="R2031" t="n">
        <v>0.1863</v>
      </c>
      <c r="S2031">
        <f>IMAGE("https://mitra.stanford.edu/kundaje/oak/projects/neuro-variants/variant_position/credible/roussos_2024/variant_figures/roussos_2024.childhood.GLU/rs1476504_count_position.png",4,220,900)</f>
        <v/>
      </c>
      <c r="T2031">
        <f>IMAGE("https://mitra.stanford.edu/kundaje/oak/projects/neuro-variants/variant_position/credible/roussos_2024/variant_figures/roussos_2024.childhood.GLU/rs1476504_profile_position.png",4,220,900)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-0.0622180132</v>
      </c>
      <c r="G2032" t="n">
        <v>0.1247102557890738</v>
      </c>
      <c r="H2032" t="n">
        <v>0.0167028711752652</v>
      </c>
      <c r="I2032" t="n">
        <v>0.1818792554926708</v>
      </c>
      <c r="J2032" t="n">
        <v>0.288689255874808</v>
      </c>
      <c r="K2032" t="n">
        <v>0.1018505866499855</v>
      </c>
      <c r="L2032" t="b">
        <v>0</v>
      </c>
      <c r="M2032" t="b">
        <v>0</v>
      </c>
      <c r="N2032" t="inlineStr">
        <is>
          <t>ref</t>
        </is>
      </c>
      <c r="O2032" t="n">
        <v>5</v>
      </c>
      <c r="P2032" t="n">
        <v>0.00293</v>
      </c>
      <c r="Q2032" t="n">
        <v>10</v>
      </c>
      <c r="R2032" t="n">
        <v>0.003906</v>
      </c>
      <c r="S2032">
        <f>IMAGE("https://mitra.stanford.edu/kundaje/oak/projects/neuro-variants/variant_position/credible/roussos_2024/variant_figures/roussos_2024.childhood.GLU/rs7249719_count_position.png",4,220,900)</f>
        <v/>
      </c>
      <c r="T2032">
        <f>IMAGE("https://mitra.stanford.edu/kundaje/oak/projects/neuro-variants/variant_position/credible/roussos_2024/variant_figures/roussos_2024.childhood.GLU/rs7249719_profile_position.png",4,220,900)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-0.07469603379999989</v>
      </c>
      <c r="G2033" t="n">
        <v>0.094661697004585</v>
      </c>
      <c r="H2033" t="n">
        <v>0.0139193299606807</v>
      </c>
      <c r="I2033" t="n">
        <v>0.3118715506987009</v>
      </c>
      <c r="J2033" t="n">
        <v>0.2209329638291076</v>
      </c>
      <c r="K2033" t="n">
        <v>0.1394745647130277</v>
      </c>
      <c r="L2033" t="b">
        <v>0</v>
      </c>
      <c r="M2033" t="b">
        <v>0</v>
      </c>
      <c r="N2033" t="inlineStr">
        <is>
          <t>ref</t>
        </is>
      </c>
      <c r="O2033" t="n">
        <v>40</v>
      </c>
      <c r="P2033" t="n">
        <v>0.0134</v>
      </c>
      <c r="Q2033" t="n">
        <v>-75</v>
      </c>
      <c r="R2033" t="n">
        <v>0.01758</v>
      </c>
      <c r="S2033">
        <f>IMAGE("https://mitra.stanford.edu/kundaje/oak/projects/neuro-variants/variant_position/credible/roussos_2024/variant_figures/roussos_2024.childhood.GLU/rs2287897_count_position.png",4,220,900)</f>
        <v/>
      </c>
      <c r="T2033">
        <f>IMAGE("https://mitra.stanford.edu/kundaje/oak/projects/neuro-variants/variant_position/credible/roussos_2024/variant_figures/roussos_2024.childhood.GLU/rs2287897_profile_position.png",4,220,900)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-0.0234472842</v>
      </c>
      <c r="G2034" t="n">
        <v>0.4265709709587806</v>
      </c>
      <c r="H2034" t="n">
        <v>0.0210576551981847</v>
      </c>
      <c r="I2034" t="n">
        <v>0.0842203304254473</v>
      </c>
      <c r="J2034" t="n">
        <v>0.0654321242028701</v>
      </c>
      <c r="K2034" t="n">
        <v>0.3093469966371815</v>
      </c>
      <c r="L2034" t="b">
        <v>0</v>
      </c>
      <c r="M2034" t="b">
        <v>0</v>
      </c>
      <c r="N2034" t="inlineStr">
        <is>
          <t>ref</t>
        </is>
      </c>
      <c r="O2034" t="n">
        <v>-55</v>
      </c>
      <c r="P2034" t="n">
        <v>0.051</v>
      </c>
      <c r="Q2034" t="n">
        <v>95</v>
      </c>
      <c r="R2034" t="n">
        <v>0.1882</v>
      </c>
      <c r="S2034">
        <f>IMAGE("https://mitra.stanford.edu/kundaje/oak/projects/neuro-variants/variant_position/credible/roussos_2024/variant_figures/roussos_2024.childhood.GLU/rs2432051_count_position.png",4,220,900)</f>
        <v/>
      </c>
      <c r="T2034">
        <f>IMAGE("https://mitra.stanford.edu/kundaje/oak/projects/neuro-variants/variant_position/credible/roussos_2024/variant_figures/roussos_2024.childhood.GLU/rs2432051_profile_position.png",4,220,900)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-0.01612955588</v>
      </c>
      <c r="G2035" t="n">
        <v>0.5425302790332532</v>
      </c>
      <c r="H2035" t="n">
        <v>0.0117818773839831</v>
      </c>
      <c r="I2035" t="n">
        <v>0.4762294420900781</v>
      </c>
      <c r="J2035" t="n">
        <v>0.1224710766789949</v>
      </c>
      <c r="K2035" t="n">
        <v>0.2195321059644946</v>
      </c>
      <c r="L2035" t="b">
        <v>0</v>
      </c>
      <c r="M2035" t="b">
        <v>0</v>
      </c>
      <c r="N2035" t="inlineStr">
        <is>
          <t>ref</t>
        </is>
      </c>
      <c r="O2035" t="n">
        <v>-55</v>
      </c>
      <c r="P2035" t="n">
        <v>0.00555</v>
      </c>
      <c r="Q2035" t="n">
        <v>60</v>
      </c>
      <c r="R2035" t="n">
        <v>0.1149</v>
      </c>
      <c r="S2035">
        <f>IMAGE("https://mitra.stanford.edu/kundaje/oak/projects/neuro-variants/variant_position/credible/roussos_2024/variant_figures/roussos_2024.childhood.GLU/rs2972537_count_position.png",4,220,900)</f>
        <v/>
      </c>
      <c r="T2035">
        <f>IMAGE("https://mitra.stanford.edu/kundaje/oak/projects/neuro-variants/variant_position/credible/roussos_2024/variant_figures/roussos_2024.childhood.GLU/rs2972537_profile_position.png",4,220,900)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-0.0579625156</v>
      </c>
      <c r="G2036" t="n">
        <v>0.1398759740123521</v>
      </c>
      <c r="H2036" t="n">
        <v>0.0171899971932875</v>
      </c>
      <c r="I2036" t="n">
        <v>0.1657787162284214</v>
      </c>
      <c r="J2036" t="n">
        <v>0.5462134402010982</v>
      </c>
      <c r="K2036" t="n">
        <v>0.0345921979435178</v>
      </c>
      <c r="L2036" t="b">
        <v>0</v>
      </c>
      <c r="M2036" t="b">
        <v>0</v>
      </c>
      <c r="N2036" t="inlineStr">
        <is>
          <t>ref</t>
        </is>
      </c>
      <c r="O2036" t="n">
        <v>-30</v>
      </c>
      <c r="P2036" t="n">
        <v>0.0003738</v>
      </c>
      <c r="Q2036" t="n">
        <v>10</v>
      </c>
      <c r="R2036" t="n">
        <v>0.02332</v>
      </c>
      <c r="S2036">
        <f>IMAGE("https://mitra.stanford.edu/kundaje/oak/projects/neuro-variants/variant_position/credible/roussos_2024/variant_figures/roussos_2024.childhood.GLU/rs149760493_count_position.png",4,220,900)</f>
        <v/>
      </c>
      <c r="T2036">
        <f>IMAGE("https://mitra.stanford.edu/kundaje/oak/projects/neuro-variants/variant_position/credible/roussos_2024/variant_figures/roussos_2024.childhood.GLU/rs149760493_profile_position.png",4,220,900)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-0.1430964328</v>
      </c>
      <c r="G2037" t="n">
        <v>0.0220154403875406</v>
      </c>
      <c r="H2037" t="n">
        <v>0.0186639975491348</v>
      </c>
      <c r="I2037" t="n">
        <v>0.1281188059261527</v>
      </c>
      <c r="J2037" t="n">
        <v>0.3668023118052478</v>
      </c>
      <c r="K2037" t="n">
        <v>0.07399729126126681</v>
      </c>
      <c r="L2037" t="b">
        <v>0</v>
      </c>
      <c r="M2037" t="b">
        <v>0</v>
      </c>
      <c r="N2037" t="inlineStr">
        <is>
          <t>ref</t>
        </is>
      </c>
      <c r="O2037" t="n">
        <v>-30</v>
      </c>
      <c r="P2037" t="n">
        <v>0.005005</v>
      </c>
      <c r="Q2037" t="n">
        <v>-30</v>
      </c>
      <c r="R2037" t="n">
        <v>0.0781</v>
      </c>
      <c r="S2037">
        <f>IMAGE("https://mitra.stanford.edu/kundaje/oak/projects/neuro-variants/variant_position/credible/roussos_2024/variant_figures/roussos_2024.childhood.GLU/rs140163185_count_position.png",4,220,900)</f>
        <v/>
      </c>
      <c r="T2037">
        <f>IMAGE("https://mitra.stanford.edu/kundaje/oak/projects/neuro-variants/variant_position/credible/roussos_2024/variant_figures/roussos_2024.childhood.GLU/rs140163185_profile_position.png",4,220,900)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-0.014028725</v>
      </c>
      <c r="G2038" t="n">
        <v>0.5654895124830633</v>
      </c>
      <c r="H2038" t="n">
        <v>0.0109965447011338</v>
      </c>
      <c r="I2038" t="n">
        <v>0.5434718512022724</v>
      </c>
      <c r="J2038" t="n">
        <v>0.0623311733132784</v>
      </c>
      <c r="K2038" t="n">
        <v>0.3358805818426817</v>
      </c>
      <c r="L2038" t="b">
        <v>0</v>
      </c>
      <c r="M2038" t="b">
        <v>0</v>
      </c>
      <c r="N2038" t="inlineStr">
        <is>
          <t>ref</t>
        </is>
      </c>
      <c r="O2038" t="n">
        <v>60</v>
      </c>
      <c r="P2038" t="n">
        <v>0.00733</v>
      </c>
      <c r="Q2038" t="n">
        <v>100</v>
      </c>
      <c r="R2038" t="n">
        <v>0.0682</v>
      </c>
      <c r="S2038">
        <f>IMAGE("https://mitra.stanford.edu/kundaje/oak/projects/neuro-variants/variant_position/credible/roussos_2024/variant_figures/roussos_2024.childhood.GLU/rs150020955_count_position.png",4,220,900)</f>
        <v/>
      </c>
      <c r="T2038">
        <f>IMAGE("https://mitra.stanford.edu/kundaje/oak/projects/neuro-variants/variant_position/credible/roussos_2024/variant_figures/roussos_2024.childhood.GLU/rs150020955_profile_position.png",4,220,900)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0.1185100469999999</v>
      </c>
      <c r="G2039" t="n">
        <v>0.0316193586030905</v>
      </c>
      <c r="H2039" t="n">
        <v>0.0317132371322204</v>
      </c>
      <c r="I2039" t="n">
        <v>0.0187504890540355</v>
      </c>
      <c r="J2039" t="n">
        <v>0.4915707707047708</v>
      </c>
      <c r="K2039" t="n">
        <v>0.0441237271485184</v>
      </c>
      <c r="L2039" t="b">
        <v>1</v>
      </c>
      <c r="M2039" t="b">
        <v>0</v>
      </c>
      <c r="N2039" t="inlineStr">
        <is>
          <t>alt</t>
        </is>
      </c>
      <c r="O2039" t="n">
        <v>95</v>
      </c>
      <c r="P2039" t="n">
        <v>0.0091</v>
      </c>
      <c r="Q2039" t="n">
        <v>-15</v>
      </c>
      <c r="R2039" t="n">
        <v>0.00769</v>
      </c>
      <c r="S2039">
        <f>IMAGE("https://mitra.stanford.edu/kundaje/oak/projects/neuro-variants/variant_position/credible/roussos_2024/variant_figures/roussos_2024.childhood.GLU/rs148362166_count_position.png",4,220,900)</f>
        <v/>
      </c>
      <c r="T2039">
        <f>IMAGE("https://mitra.stanford.edu/kundaje/oak/projects/neuro-variants/variant_position/credible/roussos_2024/variant_figures/roussos_2024.childhood.GLU/rs148362166_profile_position.png",4,220,900)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-0.0425294722</v>
      </c>
      <c r="G2040" t="n">
        <v>0.2198297010307378</v>
      </c>
      <c r="H2040" t="n">
        <v>0.019135606704235</v>
      </c>
      <c r="I2040" t="n">
        <v>0.119665192223002</v>
      </c>
      <c r="J2040" t="n">
        <v>0.3622539070950992</v>
      </c>
      <c r="K2040" t="n">
        <v>0.0750803811118793</v>
      </c>
      <c r="L2040" t="b">
        <v>0</v>
      </c>
      <c r="M2040" t="b">
        <v>0</v>
      </c>
      <c r="N2040" t="inlineStr">
        <is>
          <t>ref</t>
        </is>
      </c>
      <c r="O2040" t="n">
        <v>-35</v>
      </c>
      <c r="P2040" t="n">
        <v>0.003067</v>
      </c>
      <c r="Q2040" t="n">
        <v>15</v>
      </c>
      <c r="R2040" t="n">
        <v>0.01843</v>
      </c>
      <c r="S2040">
        <f>IMAGE("https://mitra.stanford.edu/kundaje/oak/projects/neuro-variants/variant_position/credible/roussos_2024/variant_figures/roussos_2024.childhood.GLU/rs12983497_count_position.png",4,220,900)</f>
        <v/>
      </c>
      <c r="T2040">
        <f>IMAGE("https://mitra.stanford.edu/kundaje/oak/projects/neuro-variants/variant_position/credible/roussos_2024/variant_figures/roussos_2024.childhood.GLU/rs12983497_profile_position.png",4,220,900)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-0.1138072629999999</v>
      </c>
      <c r="G2041" t="n">
        <v>0.0341334083253794</v>
      </c>
      <c r="H2041" t="n">
        <v>0.021412633207549</v>
      </c>
      <c r="I2041" t="n">
        <v>0.07698584864954031</v>
      </c>
      <c r="J2041" t="n">
        <v>0.6042970319470057</v>
      </c>
      <c r="K2041" t="n">
        <v>0.0262403314377202</v>
      </c>
      <c r="L2041" t="b">
        <v>0</v>
      </c>
      <c r="M2041" t="b">
        <v>0</v>
      </c>
      <c r="N2041" t="inlineStr">
        <is>
          <t>ref</t>
        </is>
      </c>
      <c r="O2041" t="n">
        <v>-35</v>
      </c>
      <c r="P2041" t="n">
        <v>0.0221</v>
      </c>
      <c r="Q2041" t="n">
        <v>-35</v>
      </c>
      <c r="R2041" t="n">
        <v>0.06006</v>
      </c>
      <c r="S2041">
        <f>IMAGE("https://mitra.stanford.edu/kundaje/oak/projects/neuro-variants/variant_position/credible/roussos_2024/variant_figures/roussos_2024.childhood.GLU/rs3810356_count_position.png",4,220,900)</f>
        <v/>
      </c>
      <c r="T2041">
        <f>IMAGE("https://mitra.stanford.edu/kundaje/oak/projects/neuro-variants/variant_position/credible/roussos_2024/variant_figures/roussos_2024.childhood.GLU/rs3810356_profile_position.png",4,220,900)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-0.0031637959399999</v>
      </c>
      <c r="G2042" t="n">
        <v>0.7386028615833047</v>
      </c>
      <c r="H2042" t="n">
        <v>0.0297304707703622</v>
      </c>
      <c r="I2042" t="n">
        <v>0.021842452423285</v>
      </c>
      <c r="J2042" t="n">
        <v>0.3770735677418689</v>
      </c>
      <c r="K2042" t="n">
        <v>0.07086364997644259</v>
      </c>
      <c r="L2042" t="b">
        <v>0</v>
      </c>
      <c r="M2042" t="b">
        <v>0</v>
      </c>
      <c r="N2042" t="inlineStr">
        <is>
          <t>ref</t>
        </is>
      </c>
      <c r="O2042" t="n">
        <v>-75</v>
      </c>
      <c r="P2042" t="n">
        <v>0.05176</v>
      </c>
      <c r="Q2042" t="n">
        <v>-35</v>
      </c>
      <c r="R2042" t="n">
        <v>0.01953</v>
      </c>
      <c r="S2042">
        <f>IMAGE("https://mitra.stanford.edu/kundaje/oak/projects/neuro-variants/variant_position/credible/roussos_2024/variant_figures/roussos_2024.childhood.GLU/rs569675332_count_position.png",4,220,900)</f>
        <v/>
      </c>
      <c r="T2042">
        <f>IMAGE("https://mitra.stanford.edu/kundaje/oak/projects/neuro-variants/variant_position/credible/roussos_2024/variant_figures/roussos_2024.childhood.GLU/rs569675332_profile_position.png",4,220,900)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-0.0007082163739999</v>
      </c>
      <c r="G2043" t="n">
        <v>0.8360285211089161</v>
      </c>
      <c r="H2043" t="n">
        <v>0.031602186081422</v>
      </c>
      <c r="I2043" t="n">
        <v>0.0175959287341426</v>
      </c>
      <c r="J2043" t="n">
        <v>0.3908578610650375</v>
      </c>
      <c r="K2043" t="n">
        <v>0.06687827684635581</v>
      </c>
      <c r="L2043" t="b">
        <v>1</v>
      </c>
      <c r="M2043" t="b">
        <v>0</v>
      </c>
      <c r="N2043" t="inlineStr">
        <is>
          <t>ref</t>
        </is>
      </c>
      <c r="O2043" t="n">
        <v>-100</v>
      </c>
      <c r="P2043" t="n">
        <v>0.09229999999999999</v>
      </c>
      <c r="Q2043" t="n">
        <v>-75</v>
      </c>
      <c r="R2043" t="n">
        <v>0.03247</v>
      </c>
      <c r="S2043">
        <f>IMAGE("https://mitra.stanford.edu/kundaje/oak/projects/neuro-variants/variant_position/credible/roussos_2024/variant_figures/roussos_2024.childhood.GLU/rs182522360_count_position.png",4,220,900)</f>
        <v/>
      </c>
      <c r="T2043">
        <f>IMAGE("https://mitra.stanford.edu/kundaje/oak/projects/neuro-variants/variant_position/credible/roussos_2024/variant_figures/roussos_2024.childhood.GLU/rs182522360_profile_position.png",4,220,900)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-0.024826033</v>
      </c>
      <c r="G2044" t="n">
        <v>0.4075606328992242</v>
      </c>
      <c r="H2044" t="n">
        <v>0.0109988925295024</v>
      </c>
      <c r="I2044" t="n">
        <v>0.5522960593084307</v>
      </c>
      <c r="J2044" t="n">
        <v>0.2205229377646367</v>
      </c>
      <c r="K2044" t="n">
        <v>0.1370110192713099</v>
      </c>
      <c r="L2044" t="b">
        <v>0</v>
      </c>
      <c r="M2044" t="b">
        <v>0</v>
      </c>
      <c r="N2044" t="inlineStr">
        <is>
          <t>ref</t>
        </is>
      </c>
      <c r="O2044" t="n">
        <v>-100</v>
      </c>
      <c r="P2044" t="n">
        <v>0.009674</v>
      </c>
      <c r="Q2044" t="n">
        <v>100</v>
      </c>
      <c r="R2044" t="n">
        <v>0.03357</v>
      </c>
      <c r="S2044">
        <f>IMAGE("https://mitra.stanford.edu/kundaje/oak/projects/neuro-variants/variant_position/credible/roussos_2024/variant_figures/roussos_2024.childhood.GLU/rs855616_count_position.png",4,220,900)</f>
        <v/>
      </c>
      <c r="T2044">
        <f>IMAGE("https://mitra.stanford.edu/kundaje/oak/projects/neuro-variants/variant_position/credible/roussos_2024/variant_figures/roussos_2024.childhood.GLU/rs855616_profile_position.png",4,220,900)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0.0141576942</v>
      </c>
      <c r="G2045" t="n">
        <v>0.5588609842172031</v>
      </c>
      <c r="H2045" t="n">
        <v>0.0094153415080254</v>
      </c>
      <c r="I2045" t="n">
        <v>0.7301565172653242</v>
      </c>
      <c r="J2045" t="n">
        <v>0.2550454840471014</v>
      </c>
      <c r="K2045" t="n">
        <v>0.1181363602402935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0.02141</v>
      </c>
      <c r="Q2045" t="n">
        <v>-25</v>
      </c>
      <c r="R2045" t="n">
        <v>0.02946</v>
      </c>
      <c r="S2045">
        <f>IMAGE("https://mitra.stanford.edu/kundaje/oak/projects/neuro-variants/variant_position/credible/roussos_2024/variant_figures/roussos_2024.childhood.GLU/rs8110434_count_position.png",4,220,900)</f>
        <v/>
      </c>
      <c r="T2045">
        <f>IMAGE("https://mitra.stanford.edu/kundaje/oak/projects/neuro-variants/variant_position/credible/roussos_2024/variant_figures/roussos_2024.childhood.GLU/rs8110434_profile_position.png",4,220,900)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-0.0053780192399999</v>
      </c>
      <c r="G2046" t="n">
        <v>0.6610161003469527</v>
      </c>
      <c r="H2046" t="n">
        <v>0.0283388005498635</v>
      </c>
      <c r="I2046" t="n">
        <v>0.0263491963340284</v>
      </c>
      <c r="J2046" t="n">
        <v>0.0262117918551103</v>
      </c>
      <c r="K2046" t="n">
        <v>0.4571541648396773</v>
      </c>
      <c r="L2046" t="b">
        <v>0</v>
      </c>
      <c r="M2046" t="b">
        <v>0</v>
      </c>
      <c r="N2046" t="inlineStr">
        <is>
          <t>ref</t>
        </is>
      </c>
      <c r="O2046" t="n">
        <v>-85</v>
      </c>
      <c r="P2046" t="n">
        <v>0.01776</v>
      </c>
      <c r="Q2046" t="n">
        <v>65</v>
      </c>
      <c r="R2046" t="n">
        <v>0.01062</v>
      </c>
      <c r="S2046">
        <f>IMAGE("https://mitra.stanford.edu/kundaje/oak/projects/neuro-variants/variant_position/credible/roussos_2024/variant_figures/roussos_2024.childhood.GLU/rs4803805_count_position.png",4,220,900)</f>
        <v/>
      </c>
      <c r="T2046">
        <f>IMAGE("https://mitra.stanford.edu/kundaje/oak/projects/neuro-variants/variant_position/credible/roussos_2024/variant_figures/roussos_2024.childhood.GLU/rs4803805_profile_position.png",4,220,900)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0.062200513</v>
      </c>
      <c r="G2047" t="n">
        <v>0.1230829531311709</v>
      </c>
      <c r="H2047" t="n">
        <v>0.0189526505379382</v>
      </c>
      <c r="I2047" t="n">
        <v>0.1165520525058572</v>
      </c>
      <c r="J2047" t="n">
        <v>0.1406719070332862</v>
      </c>
      <c r="K2047" t="n">
        <v>0.2017882057463</v>
      </c>
      <c r="L2047" t="b">
        <v>0</v>
      </c>
      <c r="M2047" t="b">
        <v>0</v>
      </c>
      <c r="N2047" t="inlineStr">
        <is>
          <t>alt</t>
        </is>
      </c>
      <c r="O2047" t="n">
        <v>-20</v>
      </c>
      <c r="P2047" t="n">
        <v>0.001886</v>
      </c>
      <c r="Q2047" t="n">
        <v>-50</v>
      </c>
      <c r="R2047" t="n">
        <v>0.057</v>
      </c>
      <c r="S2047">
        <f>IMAGE("https://mitra.stanford.edu/kundaje/oak/projects/neuro-variants/variant_position/credible/roussos_2024/variant_figures/roussos_2024.childhood.GLU/rs61185863_count_position.png",4,220,900)</f>
        <v/>
      </c>
      <c r="T2047">
        <f>IMAGE("https://mitra.stanford.edu/kundaje/oak/projects/neuro-variants/variant_position/credible/roussos_2024/variant_figures/roussos_2024.childhood.GLU/rs61185863_profile_position.png",4,220,900)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0.00232075482</v>
      </c>
      <c r="G2048" t="n">
        <v>0.8119288079818126</v>
      </c>
      <c r="H2048" t="n">
        <v>0.0244922958511776</v>
      </c>
      <c r="I2048" t="n">
        <v>0.0468992433575398</v>
      </c>
      <c r="J2048" t="n">
        <v>0.0249209309033965</v>
      </c>
      <c r="K2048" t="n">
        <v>0.4561323835314186</v>
      </c>
      <c r="L2048" t="b">
        <v>0</v>
      </c>
      <c r="M2048" t="b">
        <v>0</v>
      </c>
      <c r="N2048" t="inlineStr">
        <is>
          <t>alt</t>
        </is>
      </c>
      <c r="O2048" t="n">
        <v>-100</v>
      </c>
      <c r="P2048" t="n">
        <v>0.00647</v>
      </c>
      <c r="Q2048" t="n">
        <v>40</v>
      </c>
      <c r="R2048" t="n">
        <v>0.03052</v>
      </c>
      <c r="S2048">
        <f>IMAGE("https://mitra.stanford.edu/kundaje/oak/projects/neuro-variants/variant_position/credible/roussos_2024/variant_figures/roussos_2024.childhood.GLU/rs10401165_count_position.png",4,220,900)</f>
        <v/>
      </c>
      <c r="T2048">
        <f>IMAGE("https://mitra.stanford.edu/kundaje/oak/projects/neuro-variants/variant_position/credible/roussos_2024/variant_figures/roussos_2024.childhood.GLU/rs10401165_profile_position.png",4,220,900)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0.018376172</v>
      </c>
      <c r="G2049" t="n">
        <v>0.4809470341352422</v>
      </c>
      <c r="H2049" t="n">
        <v>0.0435537810394133</v>
      </c>
      <c r="I2049" t="n">
        <v>0.0047402044913498</v>
      </c>
      <c r="J2049" t="n">
        <v>0.2669146053756683</v>
      </c>
      <c r="K2049" t="n">
        <v>0.1135525496974727</v>
      </c>
      <c r="L2049" t="b">
        <v>1</v>
      </c>
      <c r="M2049" t="b">
        <v>1</v>
      </c>
      <c r="N2049" t="inlineStr">
        <is>
          <t>alt</t>
        </is>
      </c>
      <c r="O2049" t="n">
        <v>50</v>
      </c>
      <c r="P2049" t="n">
        <v>0.00772</v>
      </c>
      <c r="Q2049" t="n">
        <v>-75</v>
      </c>
      <c r="R2049" t="n">
        <v>0.0849</v>
      </c>
      <c r="S2049">
        <f>IMAGE("https://mitra.stanford.edu/kundaje/oak/projects/neuro-variants/variant_position/credible/roussos_2024/variant_figures/roussos_2024.childhood.GLU/rs66675705_count_position.png",4,220,900)</f>
        <v/>
      </c>
      <c r="T2049">
        <f>IMAGE("https://mitra.stanford.edu/kundaje/oak/projects/neuro-variants/variant_position/credible/roussos_2024/variant_figures/roussos_2024.childhood.GLU/rs66675705_profile_position.png",4,220,900)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-0.0070265563999999</v>
      </c>
      <c r="G2050" t="n">
        <v>0.4593201962762481</v>
      </c>
      <c r="H2050" t="n">
        <v>0.0109928898930038</v>
      </c>
      <c r="I2050" t="n">
        <v>0.5425661119771337</v>
      </c>
      <c r="J2050" t="n">
        <v>0.8849166039951786</v>
      </c>
      <c r="K2050" t="n">
        <v>0.0027505788321394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0.02379</v>
      </c>
      <c r="Q2050" t="n">
        <v>100</v>
      </c>
      <c r="R2050" t="n">
        <v>0.02948</v>
      </c>
      <c r="S2050">
        <f>IMAGE("https://mitra.stanford.edu/kundaje/oak/projects/neuro-variants/variant_position/credible/roussos_2024/variant_figures/roussos_2024.childhood.GLU/rs2304206_count_position.png",4,220,900)</f>
        <v/>
      </c>
      <c r="T2050">
        <f>IMAGE("https://mitra.stanford.edu/kundaje/oak/projects/neuro-variants/variant_position/credible/roussos_2024/variant_figures/roussos_2024.childhood.GLU/rs2304206_profile_position.png",4,220,900)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0.014051776</v>
      </c>
      <c r="G2051" t="n">
        <v>0.5166502245361648</v>
      </c>
      <c r="H2051" t="n">
        <v>0.0266701605236933</v>
      </c>
      <c r="I2051" t="n">
        <v>0.0362631104021586</v>
      </c>
      <c r="J2051" t="n">
        <v>0.8992283680344505</v>
      </c>
      <c r="K2051" t="n">
        <v>0.0020780235299802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0.04962</v>
      </c>
      <c r="Q2051" t="n">
        <v>100</v>
      </c>
      <c r="R2051" t="n">
        <v>0.1893</v>
      </c>
      <c r="S2051">
        <f>IMAGE("https://mitra.stanford.edu/kundaje/oak/projects/neuro-variants/variant_position/credible/roussos_2024/variant_figures/roussos_2024.childhood.GLU/rs2304205_count_position.png",4,220,900)</f>
        <v/>
      </c>
      <c r="T2051">
        <f>IMAGE("https://mitra.stanford.edu/kundaje/oak/projects/neuro-variants/variant_position/credible/roussos_2024/variant_figures/roussos_2024.childhood.GLU/rs2304205_profile_position.png",4,220,900)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0.0815988957999999</v>
      </c>
      <c r="G2052" t="n">
        <v>0.08765954805141719</v>
      </c>
      <c r="H2052" t="n">
        <v>0.0225473456223239</v>
      </c>
      <c r="I2052" t="n">
        <v>0.0659124075283045</v>
      </c>
      <c r="J2052" t="n">
        <v>0.6578198563878558</v>
      </c>
      <c r="K2052" t="n">
        <v>0.0194349803632971</v>
      </c>
      <c r="L2052" t="b">
        <v>0</v>
      </c>
      <c r="M2052" t="b">
        <v>0</v>
      </c>
      <c r="N2052" t="inlineStr">
        <is>
          <t>alt</t>
        </is>
      </c>
      <c r="O2052" t="n">
        <v>-75</v>
      </c>
      <c r="P2052" t="n">
        <v>0.003006</v>
      </c>
      <c r="Q2052" t="n">
        <v>-75</v>
      </c>
      <c r="R2052" t="n">
        <v>0.1123</v>
      </c>
      <c r="S2052">
        <f>IMAGE("https://mitra.stanford.edu/kundaje/oak/projects/neuro-variants/variant_position/credible/roussos_2024/variant_figures/roussos_2024.childhood.GLU/rs2278999_count_position.png",4,220,900)</f>
        <v/>
      </c>
      <c r="T2052">
        <f>IMAGE("https://mitra.stanford.edu/kundaje/oak/projects/neuro-variants/variant_position/credible/roussos_2024/variant_figures/roussos_2024.childhood.GLU/rs2278999_profile_position.png",4,220,900)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0.0391763787999999</v>
      </c>
      <c r="G2053" t="n">
        <v>0.2397541369338836</v>
      </c>
      <c r="H2053" t="n">
        <v>0.0130153799494669</v>
      </c>
      <c r="I2053" t="n">
        <v>0.3757509423224472</v>
      </c>
      <c r="J2053" t="n">
        <v>0.1250589798798767</v>
      </c>
      <c r="K2053" t="n">
        <v>0.2142295059238332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0.01929</v>
      </c>
      <c r="Q2053" t="n">
        <v>-95</v>
      </c>
      <c r="R2053" t="n">
        <v>0.0941</v>
      </c>
      <c r="S2053">
        <f>IMAGE("https://mitra.stanford.edu/kundaje/oak/projects/neuro-variants/variant_position/credible/roussos_2024/variant_figures/roussos_2024.childhood.GLU/rs2052241_count_position.png",4,220,900)</f>
        <v/>
      </c>
      <c r="T2053">
        <f>IMAGE("https://mitra.stanford.edu/kundaje/oak/projects/neuro-variants/variant_position/credible/roussos_2024/variant_figures/roussos_2024.childhood.GLU/rs2052241_profile_position.png",4,220,900)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-0.040776437</v>
      </c>
      <c r="G2054" t="n">
        <v>0.2508860355160059</v>
      </c>
      <c r="H2054" t="n">
        <v>0.0128299225777398</v>
      </c>
      <c r="I2054" t="n">
        <v>0.3843779365595524</v>
      </c>
      <c r="J2054" t="n">
        <v>0.2494586213646243</v>
      </c>
      <c r="K2054" t="n">
        <v>0.1198907807630443</v>
      </c>
      <c r="L2054" t="b">
        <v>0</v>
      </c>
      <c r="M2054" t="b">
        <v>0</v>
      </c>
      <c r="N2054" t="inlineStr">
        <is>
          <t>ref</t>
        </is>
      </c>
      <c r="O2054" t="n">
        <v>100</v>
      </c>
      <c r="P2054" t="n">
        <v>0.001829</v>
      </c>
      <c r="Q2054" t="n">
        <v>5</v>
      </c>
      <c r="R2054" t="n">
        <v>0.00354</v>
      </c>
      <c r="S2054">
        <f>IMAGE("https://mitra.stanford.edu/kundaje/oak/projects/neuro-variants/variant_position/credible/roussos_2024/variant_figures/roussos_2024.childhood.GLU/rs758749_count_position.png",4,220,900)</f>
        <v/>
      </c>
      <c r="T2054">
        <f>IMAGE("https://mitra.stanford.edu/kundaje/oak/projects/neuro-variants/variant_position/credible/roussos_2024/variant_figures/roussos_2024.childhood.GLU/rs758749_profile_position.png",4,220,900)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-0.0063930307999999</v>
      </c>
      <c r="G2055" t="n">
        <v>0.6082692449235758</v>
      </c>
      <c r="H2055" t="n">
        <v>0.0072169166754454</v>
      </c>
      <c r="I2055" t="n">
        <v>0.9324670225289674</v>
      </c>
      <c r="J2055" t="n">
        <v>0.1236898224937413</v>
      </c>
      <c r="K2055" t="n">
        <v>0.2188500961396861</v>
      </c>
      <c r="L2055" t="b">
        <v>0</v>
      </c>
      <c r="M2055" t="b">
        <v>0</v>
      </c>
      <c r="N2055" t="inlineStr">
        <is>
          <t>ref</t>
        </is>
      </c>
      <c r="O2055" t="n">
        <v>-70</v>
      </c>
      <c r="P2055" t="n">
        <v>0.001119</v>
      </c>
      <c r="Q2055" t="n">
        <v>100</v>
      </c>
      <c r="R2055" t="n">
        <v>0.11053</v>
      </c>
      <c r="S2055">
        <f>IMAGE("https://mitra.stanford.edu/kundaje/oak/projects/neuro-variants/variant_position/credible/roussos_2024/variant_figures/roussos_2024.childhood.GLU/rs17247190_count_position.png",4,220,900)</f>
        <v/>
      </c>
      <c r="T2055">
        <f>IMAGE("https://mitra.stanford.edu/kundaje/oak/projects/neuro-variants/variant_position/credible/roussos_2024/variant_figures/roussos_2024.childhood.GLU/rs17247190_profile_position.png",4,220,900)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-0.00221659666</v>
      </c>
      <c r="G2056" t="n">
        <v>0.8176861053691095</v>
      </c>
      <c r="H2056" t="n">
        <v>0.0156611984574914</v>
      </c>
      <c r="I2056" t="n">
        <v>0.2192287430178171</v>
      </c>
      <c r="J2056" t="n">
        <v>0.0098828644132403</v>
      </c>
      <c r="K2056" t="n">
        <v>0.5843490155422298</v>
      </c>
      <c r="L2056" t="b">
        <v>0</v>
      </c>
      <c r="M2056" t="b">
        <v>0</v>
      </c>
      <c r="N2056" t="inlineStr">
        <is>
          <t>ref</t>
        </is>
      </c>
      <c r="O2056" t="n">
        <v>90</v>
      </c>
      <c r="P2056" t="n">
        <v>0.01398</v>
      </c>
      <c r="Q2056" t="n">
        <v>-25</v>
      </c>
      <c r="R2056" t="n">
        <v>0.01904</v>
      </c>
      <c r="S2056">
        <f>IMAGE("https://mitra.stanford.edu/kundaje/oak/projects/neuro-variants/variant_position/credible/roussos_2024/variant_figures/roussos_2024.childhood.GLU/rs10206268_count_position.png",4,220,900)</f>
        <v/>
      </c>
      <c r="T2056">
        <f>IMAGE("https://mitra.stanford.edu/kundaje/oak/projects/neuro-variants/variant_position/credible/roussos_2024/variant_figures/roussos_2024.childhood.GLU/rs10206268_profile_position.png",4,220,900)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-0.01662740882</v>
      </c>
      <c r="G2057" t="n">
        <v>0.5403292529592916</v>
      </c>
      <c r="H2057" t="n">
        <v>0.0122229719291973</v>
      </c>
      <c r="I2057" t="n">
        <v>0.4331325273908218</v>
      </c>
      <c r="J2057" t="n">
        <v>0.0172756961686257</v>
      </c>
      <c r="K2057" t="n">
        <v>0.5189264281595546</v>
      </c>
      <c r="L2057" t="b">
        <v>0</v>
      </c>
      <c r="M2057" t="b">
        <v>0</v>
      </c>
      <c r="N2057" t="inlineStr">
        <is>
          <t>ref</t>
        </is>
      </c>
      <c r="O2057" t="n">
        <v>0</v>
      </c>
      <c r="P2057" t="n">
        <v>0</v>
      </c>
      <c r="Q2057" t="n">
        <v>100</v>
      </c>
      <c r="R2057" t="n">
        <v>0.00708</v>
      </c>
      <c r="S2057">
        <f>IMAGE("https://mitra.stanford.edu/kundaje/oak/projects/neuro-variants/variant_position/credible/roussos_2024/variant_figures/roussos_2024.childhood.GLU/rs35983183_count_position.png",4,220,900)</f>
        <v/>
      </c>
      <c r="T2057">
        <f>IMAGE("https://mitra.stanford.edu/kundaje/oak/projects/neuro-variants/variant_position/credible/roussos_2024/variant_figures/roussos_2024.childhood.GLU/rs35983183_profile_position.png",4,220,900)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0.1220214332</v>
      </c>
      <c r="G2058" t="n">
        <v>0.0276744641019488</v>
      </c>
      <c r="H2058" t="n">
        <v>0.0383298371052886</v>
      </c>
      <c r="I2058" t="n">
        <v>0.008442429017382101</v>
      </c>
      <c r="J2058" t="n">
        <v>0.0131898585513098</v>
      </c>
      <c r="K2058" t="n">
        <v>0.5572069671805907</v>
      </c>
      <c r="L2058" t="b">
        <v>1</v>
      </c>
      <c r="M2058" t="b">
        <v>0</v>
      </c>
      <c r="N2058" t="inlineStr">
        <is>
          <t>alt</t>
        </is>
      </c>
      <c r="O2058" t="n">
        <v>-45</v>
      </c>
      <c r="P2058" t="n">
        <v>0.002083</v>
      </c>
      <c r="Q2058" t="n">
        <v>20</v>
      </c>
      <c r="R2058" t="n">
        <v>0.03009</v>
      </c>
      <c r="S2058">
        <f>IMAGE("https://mitra.stanford.edu/kundaje/oak/projects/neuro-variants/variant_position/credible/roussos_2024/variant_figures/roussos_2024.childhood.GLU/rs35925486_count_position.png",4,220,900)</f>
        <v/>
      </c>
      <c r="T2058">
        <f>IMAGE("https://mitra.stanford.edu/kundaje/oak/projects/neuro-variants/variant_position/credible/roussos_2024/variant_figures/roussos_2024.childhood.GLU/rs35925486_profile_position.png",4,220,900)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0.0143706594</v>
      </c>
      <c r="G2059" t="n">
        <v>0.5515042928373624</v>
      </c>
      <c r="H2059" t="n">
        <v>0.0216059551331661</v>
      </c>
      <c r="I2059" t="n">
        <v>0.0761542248324845</v>
      </c>
      <c r="J2059" t="n">
        <v>0.0263055415331677</v>
      </c>
      <c r="K2059" t="n">
        <v>0.4530295094655662</v>
      </c>
      <c r="L2059" t="b">
        <v>0</v>
      </c>
      <c r="M2059" t="b">
        <v>0</v>
      </c>
      <c r="N2059" t="inlineStr">
        <is>
          <t>alt</t>
        </is>
      </c>
      <c r="O2059" t="n">
        <v>10</v>
      </c>
      <c r="P2059" t="n">
        <v>0.0008545</v>
      </c>
      <c r="Q2059" t="n">
        <v>80</v>
      </c>
      <c r="R2059" t="n">
        <v>0.056</v>
      </c>
      <c r="S2059">
        <f>IMAGE("https://mitra.stanford.edu/kundaje/oak/projects/neuro-variants/variant_position/credible/roussos_2024/variant_figures/roussos_2024.childhood.GLU/rs6531063_count_position.png",4,220,900)</f>
        <v/>
      </c>
      <c r="T2059">
        <f>IMAGE("https://mitra.stanford.edu/kundaje/oak/projects/neuro-variants/variant_position/credible/roussos_2024/variant_figures/roussos_2024.childhood.GLU/rs6531063_profile_position.png",4,220,900)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0.1531995599999999</v>
      </c>
      <c r="G2060" t="n">
        <v>0.016354703426863</v>
      </c>
      <c r="H2060" t="n">
        <v>0.013274032532971</v>
      </c>
      <c r="I2060" t="n">
        <v>0.3486848491739489</v>
      </c>
      <c r="J2060" t="n">
        <v>0.2607621539761195</v>
      </c>
      <c r="K2060" t="n">
        <v>0.1139213997289434</v>
      </c>
      <c r="L2060" t="b">
        <v>1</v>
      </c>
      <c r="M2060" t="b">
        <v>0</v>
      </c>
      <c r="N2060" t="inlineStr">
        <is>
          <t>alt</t>
        </is>
      </c>
      <c r="O2060" t="n">
        <v>100</v>
      </c>
      <c r="P2060" t="n">
        <v>0.02333</v>
      </c>
      <c r="Q2060" t="n">
        <v>-95</v>
      </c>
      <c r="R2060" t="n">
        <v>0.02979</v>
      </c>
      <c r="S2060">
        <f>IMAGE("https://mitra.stanford.edu/kundaje/oak/projects/neuro-variants/variant_position/credible/roussos_2024/variant_figures/roussos_2024.childhood.GLU/rs2061607_count_position.png",4,220,900)</f>
        <v/>
      </c>
      <c r="T2060">
        <f>IMAGE("https://mitra.stanford.edu/kundaje/oak/projects/neuro-variants/variant_position/credible/roussos_2024/variant_figures/roussos_2024.childhood.GLU/rs2061607_profile_position.png",4,220,900)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0.0280877728</v>
      </c>
      <c r="G2061" t="n">
        <v>0.3496528656116289</v>
      </c>
      <c r="H2061" t="n">
        <v>0.008366170040901901</v>
      </c>
      <c r="I2061" t="n">
        <v>0.8185412880672169</v>
      </c>
      <c r="J2061" t="n">
        <v>0.014439510853328</v>
      </c>
      <c r="K2061" t="n">
        <v>0.5369995365045807</v>
      </c>
      <c r="L2061" t="b">
        <v>0</v>
      </c>
      <c r="M2061" t="b">
        <v>0</v>
      </c>
      <c r="N2061" t="inlineStr">
        <is>
          <t>alt</t>
        </is>
      </c>
      <c r="O2061" t="n">
        <v>-85</v>
      </c>
      <c r="P2061" t="n">
        <v>0.003</v>
      </c>
      <c r="Q2061" t="n">
        <v>60</v>
      </c>
      <c r="R2061" t="n">
        <v>0.1021</v>
      </c>
      <c r="S2061">
        <f>IMAGE("https://mitra.stanford.edu/kundaje/oak/projects/neuro-variants/variant_position/credible/roussos_2024/variant_figures/roussos_2024.childhood.GLU/rs4552217_count_position.png",4,220,900)</f>
        <v/>
      </c>
      <c r="T2061">
        <f>IMAGE("https://mitra.stanford.edu/kundaje/oak/projects/neuro-variants/variant_position/credible/roussos_2024/variant_figures/roussos_2024.childhood.GLU/rs4552217_profile_position.png",4,220,900)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0.0406714844</v>
      </c>
      <c r="G2062" t="n">
        <v>0.24047799032472</v>
      </c>
      <c r="H2062" t="n">
        <v>0.0105920706532173</v>
      </c>
      <c r="I2062" t="n">
        <v>0.5962019794764261</v>
      </c>
      <c r="J2062" t="n">
        <v>0.0149711024344009</v>
      </c>
      <c r="K2062" t="n">
        <v>0.5316976158285027</v>
      </c>
      <c r="L2062" t="b">
        <v>0</v>
      </c>
      <c r="M2062" t="b">
        <v>0</v>
      </c>
      <c r="N2062" t="inlineStr">
        <is>
          <t>alt</t>
        </is>
      </c>
      <c r="O2062" t="n">
        <v>-25</v>
      </c>
      <c r="P2062" t="n">
        <v>0.001543</v>
      </c>
      <c r="Q2062" t="n">
        <v>100</v>
      </c>
      <c r="R2062" t="n">
        <v>0.04767</v>
      </c>
      <c r="S2062">
        <f>IMAGE("https://mitra.stanford.edu/kundaje/oak/projects/neuro-variants/variant_position/credible/roussos_2024/variant_figures/roussos_2024.childhood.GLU/rs4277554_count_position.png",4,220,900)</f>
        <v/>
      </c>
      <c r="T2062">
        <f>IMAGE("https://mitra.stanford.edu/kundaje/oak/projects/neuro-variants/variant_position/credible/roussos_2024/variant_figures/roussos_2024.childhood.GLU/rs4277554_profile_position.png",4,220,900)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-0.01726799318</v>
      </c>
      <c r="G2063" t="n">
        <v>0.5303365857216926</v>
      </c>
      <c r="H2063" t="n">
        <v>0.0218206235077029</v>
      </c>
      <c r="I2063" t="n">
        <v>0.07077761673298399</v>
      </c>
      <c r="J2063" t="n">
        <v>0.0041754664304037</v>
      </c>
      <c r="K2063" t="n">
        <v>0.6935360596999482</v>
      </c>
      <c r="L2063" t="b">
        <v>0</v>
      </c>
      <c r="M2063" t="b">
        <v>0</v>
      </c>
      <c r="N2063" t="inlineStr">
        <is>
          <t>ref</t>
        </is>
      </c>
      <c r="O2063" t="n">
        <v>50</v>
      </c>
      <c r="P2063" t="n">
        <v>0.001892</v>
      </c>
      <c r="Q2063" t="n">
        <v>-100</v>
      </c>
      <c r="R2063" t="n">
        <v>0.1068</v>
      </c>
      <c r="S2063">
        <f>IMAGE("https://mitra.stanford.edu/kundaje/oak/projects/neuro-variants/variant_position/credible/roussos_2024/variant_figures/roussos_2024.childhood.GLU/rs7608960_count_position.png",4,220,900)</f>
        <v/>
      </c>
      <c r="T2063">
        <f>IMAGE("https://mitra.stanford.edu/kundaje/oak/projects/neuro-variants/variant_position/credible/roussos_2024/variant_figures/roussos_2024.childhood.GLU/rs7608960_profile_position.png",4,220,900)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-0.0018383988399999</v>
      </c>
      <c r="G2064" t="n">
        <v>0.7094100658089232</v>
      </c>
      <c r="H2064" t="n">
        <v>0.0100901873325877</v>
      </c>
      <c r="I2064" t="n">
        <v>0.6483203160584506</v>
      </c>
      <c r="J2064" t="n">
        <v>0.0041383786456776</v>
      </c>
      <c r="K2064" t="n">
        <v>0.7114969790005944</v>
      </c>
      <c r="L2064" t="b">
        <v>0</v>
      </c>
      <c r="M2064" t="b">
        <v>0</v>
      </c>
      <c r="N2064" t="inlineStr">
        <is>
          <t>ref</t>
        </is>
      </c>
      <c r="O2064" t="n">
        <v>-95</v>
      </c>
      <c r="P2064" t="n">
        <v>0.00813</v>
      </c>
      <c r="Q2064" t="n">
        <v>40</v>
      </c>
      <c r="R2064" t="n">
        <v>0.1001</v>
      </c>
      <c r="S2064">
        <f>IMAGE("https://mitra.stanford.edu/kundaje/oak/projects/neuro-variants/variant_position/credible/roussos_2024/variant_figures/roussos_2024.childhood.GLU/rs11895519_count_position.png",4,220,900)</f>
        <v/>
      </c>
      <c r="T2064">
        <f>IMAGE("https://mitra.stanford.edu/kundaje/oak/projects/neuro-variants/variant_position/credible/roussos_2024/variant_figures/roussos_2024.childhood.GLU/rs11895519_profile_position.png",4,220,900)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0.00255797236</v>
      </c>
      <c r="G2065" t="n">
        <v>0.7601434379863492</v>
      </c>
      <c r="H2065" t="n">
        <v>0.0353100982067736</v>
      </c>
      <c r="I2065" t="n">
        <v>0.0109777938013869</v>
      </c>
      <c r="J2065" t="n">
        <v>0.0006789125037344001</v>
      </c>
      <c r="K2065" t="n">
        <v>0.8570096307891532</v>
      </c>
      <c r="L2065" t="b">
        <v>0</v>
      </c>
      <c r="M2065" t="b">
        <v>0</v>
      </c>
      <c r="N2065" t="inlineStr">
        <is>
          <t>alt</t>
        </is>
      </c>
      <c r="O2065" t="n">
        <v>-55</v>
      </c>
      <c r="P2065" t="n">
        <v>0.004456</v>
      </c>
      <c r="Q2065" t="n">
        <v>100</v>
      </c>
      <c r="R2065" t="n">
        <v>0.06304999999999999</v>
      </c>
      <c r="S2065">
        <f>IMAGE("https://mitra.stanford.edu/kundaje/oak/projects/neuro-variants/variant_position/credible/roussos_2024/variant_figures/roussos_2024.childhood.GLU/rs140227113_count_position.png",4,220,900)</f>
        <v/>
      </c>
      <c r="T2065">
        <f>IMAGE("https://mitra.stanford.edu/kundaje/oak/projects/neuro-variants/variant_position/credible/roussos_2024/variant_figures/roussos_2024.childhood.GLU/rs140227113_profile_position.png",4,220,900)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0.0359107818</v>
      </c>
      <c r="G2066" t="n">
        <v>0.2647674305184445</v>
      </c>
      <c r="H2066" t="n">
        <v>0.0105882693177173</v>
      </c>
      <c r="I2066" t="n">
        <v>0.5791208450544887</v>
      </c>
      <c r="J2066" t="n">
        <v>0.0208268515561415</v>
      </c>
      <c r="K2066" t="n">
        <v>0.4893089069269343</v>
      </c>
      <c r="L2066" t="b">
        <v>0</v>
      </c>
      <c r="M2066" t="b">
        <v>0</v>
      </c>
      <c r="N2066" t="inlineStr">
        <is>
          <t>alt</t>
        </is>
      </c>
      <c r="O2066" t="n">
        <v>-20</v>
      </c>
      <c r="P2066" t="n">
        <v>0.003006</v>
      </c>
      <c r="Q2066" t="n">
        <v>25</v>
      </c>
      <c r="R2066" t="n">
        <v>0.04224</v>
      </c>
      <c r="S2066">
        <f>IMAGE("https://mitra.stanford.edu/kundaje/oak/projects/neuro-variants/variant_position/credible/roussos_2024/variant_figures/roussos_2024.childhood.GLU/rs1463977_count_position.png",4,220,900)</f>
        <v/>
      </c>
      <c r="T2066">
        <f>IMAGE("https://mitra.stanford.edu/kundaje/oak/projects/neuro-variants/variant_position/credible/roussos_2024/variant_figures/roussos_2024.childhood.GLU/rs1463977_profile_position.png",4,220,900)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-0.013791425284</v>
      </c>
      <c r="G2067" t="n">
        <v>0.5991518426676383</v>
      </c>
      <c r="H2067" t="n">
        <v>0.0075356253554783</v>
      </c>
      <c r="I2067" t="n">
        <v>0.9135067822617534</v>
      </c>
      <c r="J2067" t="n">
        <v>0.3240370053674266</v>
      </c>
      <c r="K2067" t="n">
        <v>0.0886405233537939</v>
      </c>
      <c r="L2067" t="b">
        <v>0</v>
      </c>
      <c r="M2067" t="b">
        <v>0</v>
      </c>
      <c r="N2067" t="inlineStr">
        <is>
          <t>ref</t>
        </is>
      </c>
      <c r="O2067" t="n">
        <v>-25</v>
      </c>
      <c r="P2067" t="n">
        <v>0.002106</v>
      </c>
      <c r="Q2067" t="n">
        <v>75</v>
      </c>
      <c r="R2067" t="n">
        <v>0.09375</v>
      </c>
      <c r="S2067">
        <f>IMAGE("https://mitra.stanford.edu/kundaje/oak/projects/neuro-variants/variant_position/credible/roussos_2024/variant_figures/roussos_2024.childhood.GLU/rs34995758_count_position.png",4,220,900)</f>
        <v/>
      </c>
      <c r="T2067">
        <f>IMAGE("https://mitra.stanford.edu/kundaje/oak/projects/neuro-variants/variant_position/credible/roussos_2024/variant_figures/roussos_2024.childhood.GLU/rs34995758_profile_position.png",4,220,900)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-0.245934636</v>
      </c>
      <c r="G2068" t="n">
        <v>0.0041479402699943</v>
      </c>
      <c r="H2068" t="n">
        <v>0.0301835839643852</v>
      </c>
      <c r="I2068" t="n">
        <v>0.0218867670398374</v>
      </c>
      <c r="J2068" t="n">
        <v>0.4111397282289551</v>
      </c>
      <c r="K2068" t="n">
        <v>0.0614441688377054</v>
      </c>
      <c r="L2068" t="b">
        <v>1</v>
      </c>
      <c r="M2068" t="b">
        <v>1</v>
      </c>
      <c r="N2068" t="inlineStr">
        <is>
          <t>ref</t>
        </is>
      </c>
      <c r="O2068" t="n">
        <v>60</v>
      </c>
      <c r="P2068" t="n">
        <v>0.003464</v>
      </c>
      <c r="Q2068" t="n">
        <v>85</v>
      </c>
      <c r="R2068" t="n">
        <v>0.06469999999999999</v>
      </c>
      <c r="S2068">
        <f>IMAGE("https://mitra.stanford.edu/kundaje/oak/projects/neuro-variants/variant_position/credible/roussos_2024/variant_figures/roussos_2024.childhood.GLU/rs3769126_count_position.png",4,220,900)</f>
        <v/>
      </c>
      <c r="T2068">
        <f>IMAGE("https://mitra.stanford.edu/kundaje/oak/projects/neuro-variants/variant_position/credible/roussos_2024/variant_figures/roussos_2024.childhood.GLU/rs3769126_profile_position.png",4,220,900)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0.0355734416</v>
      </c>
      <c r="G2069" t="n">
        <v>0.2753762174668854</v>
      </c>
      <c r="H2069" t="n">
        <v>0.0115891549648114</v>
      </c>
      <c r="I2069" t="n">
        <v>0.491069276500809</v>
      </c>
      <c r="J2069" t="n">
        <v>0.1768149834650292</v>
      </c>
      <c r="K2069" t="n">
        <v>0.1665312591833699</v>
      </c>
      <c r="L2069" t="b">
        <v>0</v>
      </c>
      <c r="M2069" t="b">
        <v>0</v>
      </c>
      <c r="N2069" t="inlineStr">
        <is>
          <t>alt</t>
        </is>
      </c>
      <c r="O2069" t="n">
        <v>80</v>
      </c>
      <c r="P2069" t="n">
        <v>0.0004996999999999999</v>
      </c>
      <c r="Q2069" t="n">
        <v>-85</v>
      </c>
      <c r="R2069" t="n">
        <v>0.0911</v>
      </c>
      <c r="S2069">
        <f>IMAGE("https://mitra.stanford.edu/kundaje/oak/projects/neuro-variants/variant_position/credible/roussos_2024/variant_figures/roussos_2024.childhood.GLU/rs4665905_count_position.png",4,220,900)</f>
        <v/>
      </c>
      <c r="T2069">
        <f>IMAGE("https://mitra.stanford.edu/kundaje/oak/projects/neuro-variants/variant_position/credible/roussos_2024/variant_figures/roussos_2024.childhood.GLU/rs4665905_profile_position.png",4,220,900)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-0.0893449014</v>
      </c>
      <c r="G2070" t="n">
        <v>0.0620209484716803</v>
      </c>
      <c r="H2070" t="n">
        <v>0.0161936019066214</v>
      </c>
      <c r="I2070" t="n">
        <v>0.1947586982988938</v>
      </c>
      <c r="J2070" t="n">
        <v>0.301037427756086</v>
      </c>
      <c r="K2070" t="n">
        <v>0.0965681130978262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0.04782</v>
      </c>
      <c r="Q2070" t="n">
        <v>-100</v>
      </c>
      <c r="R2070" t="n">
        <v>0.8037</v>
      </c>
      <c r="S2070">
        <f>IMAGE("https://mitra.stanford.edu/kundaje/oak/projects/neuro-variants/variant_position/credible/roussos_2024/variant_figures/roussos_2024.childhood.GLU/rs34736994_count_position.png",4,220,900)</f>
        <v/>
      </c>
      <c r="T2070">
        <f>IMAGE("https://mitra.stanford.edu/kundaje/oak/projects/neuro-variants/variant_position/credible/roussos_2024/variant_figures/roussos_2024.childhood.GLU/rs34736994_profile_position.png",4,220,900)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0.0416726728</v>
      </c>
      <c r="G2071" t="n">
        <v>0.2219677341874226</v>
      </c>
      <c r="H2071" t="n">
        <v>0.0163756108115793</v>
      </c>
      <c r="I2071" t="n">
        <v>0.190192508761827</v>
      </c>
      <c r="J2071" t="n">
        <v>0.0592611289109583</v>
      </c>
      <c r="K2071" t="n">
        <v>0.3275562875280388</v>
      </c>
      <c r="L2071" t="b">
        <v>0</v>
      </c>
      <c r="M2071" t="b">
        <v>0</v>
      </c>
      <c r="N2071" t="inlineStr">
        <is>
          <t>alt</t>
        </is>
      </c>
      <c r="O2071" t="n">
        <v>90</v>
      </c>
      <c r="P2071" t="n">
        <v>0.00423</v>
      </c>
      <c r="Q2071" t="n">
        <v>-40</v>
      </c>
      <c r="R2071" t="n">
        <v>0.0315</v>
      </c>
      <c r="S2071">
        <f>IMAGE("https://mitra.stanford.edu/kundaje/oak/projects/neuro-variants/variant_position/credible/roussos_2024/variant_figures/roussos_2024.childhood.GLU/rs2082610_count_position.png",4,220,900)</f>
        <v/>
      </c>
      <c r="T2071">
        <f>IMAGE("https://mitra.stanford.edu/kundaje/oak/projects/neuro-variants/variant_position/credible/roussos_2024/variant_figures/roussos_2024.childhood.GLU/rs2082610_profile_position.png",4,220,900)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0.1139155147999999</v>
      </c>
      <c r="G2072" t="n">
        <v>0.0340241010180088</v>
      </c>
      <c r="H2072" t="n">
        <v>0.0187762447037764</v>
      </c>
      <c r="I2072" t="n">
        <v>0.1282903647082778</v>
      </c>
      <c r="J2072" t="n">
        <v>0.5012671659781388</v>
      </c>
      <c r="K2072" t="n">
        <v>0.042263247477128</v>
      </c>
      <c r="L2072" t="b">
        <v>0</v>
      </c>
      <c r="M2072" t="b">
        <v>0</v>
      </c>
      <c r="N2072" t="inlineStr">
        <is>
          <t>alt</t>
        </is>
      </c>
      <c r="O2072" t="n">
        <v>-15</v>
      </c>
      <c r="P2072" t="n">
        <v>0.002289</v>
      </c>
      <c r="Q2072" t="n">
        <v>-85</v>
      </c>
      <c r="R2072" t="n">
        <v>0.07135</v>
      </c>
      <c r="S2072">
        <f>IMAGE("https://mitra.stanford.edu/kundaje/oak/projects/neuro-variants/variant_position/credible/roussos_2024/variant_figures/roussos_2024.childhood.GLU/rs11891133_count_position.png",4,220,900)</f>
        <v/>
      </c>
      <c r="T2072">
        <f>IMAGE("https://mitra.stanford.edu/kundaje/oak/projects/neuro-variants/variant_position/credible/roussos_2024/variant_figures/roussos_2024.childhood.GLU/rs11891133_profile_position.png",4,220,900)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-0.0595682914</v>
      </c>
      <c r="G2073" t="n">
        <v>0.1390138409474289</v>
      </c>
      <c r="H2073" t="n">
        <v>0.0184418424169366</v>
      </c>
      <c r="I2073" t="n">
        <v>0.1334558641610454</v>
      </c>
      <c r="J2073" t="n">
        <v>0.6694942668466112</v>
      </c>
      <c r="K2073" t="n">
        <v>0.018230700173738</v>
      </c>
      <c r="L2073" t="b">
        <v>0</v>
      </c>
      <c r="M2073" t="b">
        <v>0</v>
      </c>
      <c r="N2073" t="inlineStr">
        <is>
          <t>ref</t>
        </is>
      </c>
      <c r="O2073" t="n">
        <v>-90</v>
      </c>
      <c r="P2073" t="n">
        <v>0.00476</v>
      </c>
      <c r="Q2073" t="n">
        <v>-100</v>
      </c>
      <c r="R2073" t="n">
        <v>0.1199</v>
      </c>
      <c r="S2073">
        <f>IMAGE("https://mitra.stanford.edu/kundaje/oak/projects/neuro-variants/variant_position/credible/roussos_2024/variant_figures/roussos_2024.childhood.GLU/rs2082611_count_position.png",4,220,900)</f>
        <v/>
      </c>
      <c r="T2073">
        <f>IMAGE("https://mitra.stanford.edu/kundaje/oak/projects/neuro-variants/variant_position/credible/roussos_2024/variant_figures/roussos_2024.childhood.GLU/rs2082611_profile_position.png",4,220,900)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-0.018905451652</v>
      </c>
      <c r="G2074" t="n">
        <v>0.5181550537708201</v>
      </c>
      <c r="H2074" t="n">
        <v>0.0198793513989152</v>
      </c>
      <c r="I2074" t="n">
        <v>0.1037026623112224</v>
      </c>
      <c r="J2074" t="n">
        <v>0.5784365438305501</v>
      </c>
      <c r="K2074" t="n">
        <v>0.0294688039880281</v>
      </c>
      <c r="L2074" t="b">
        <v>0</v>
      </c>
      <c r="M2074" t="b">
        <v>0</v>
      </c>
      <c r="N2074" t="inlineStr">
        <is>
          <t>ref</t>
        </is>
      </c>
      <c r="O2074" t="n">
        <v>-75</v>
      </c>
      <c r="P2074" t="n">
        <v>0.24</v>
      </c>
      <c r="Q2074" t="n">
        <v>-15</v>
      </c>
      <c r="R2074" t="n">
        <v>0.01489</v>
      </c>
      <c r="S2074">
        <f>IMAGE("https://mitra.stanford.edu/kundaje/oak/projects/neuro-variants/variant_position/credible/roussos_2024/variant_figures/roussos_2024.childhood.GLU/rs35610357_count_position.png",4,220,900)</f>
        <v/>
      </c>
      <c r="T2074">
        <f>IMAGE("https://mitra.stanford.edu/kundaje/oak/projects/neuro-variants/variant_position/credible/roussos_2024/variant_figures/roussos_2024.childhood.GLU/rs35610357_profile_position.png",4,220,900)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0.0381665622</v>
      </c>
      <c r="G2075" t="n">
        <v>0.2503805030569266</v>
      </c>
      <c r="H2075" t="n">
        <v>0.0175670703623278</v>
      </c>
      <c r="I2075" t="n">
        <v>0.1588083259552674</v>
      </c>
      <c r="J2075" t="n">
        <v>0.3063801291891168</v>
      </c>
      <c r="K2075" t="n">
        <v>0.0943765399673502</v>
      </c>
      <c r="L2075" t="b">
        <v>0</v>
      </c>
      <c r="M2075" t="b">
        <v>0</v>
      </c>
      <c r="N2075" t="inlineStr">
        <is>
          <t>alt</t>
        </is>
      </c>
      <c r="O2075" t="n">
        <v>70</v>
      </c>
      <c r="P2075" t="n">
        <v>0.004364</v>
      </c>
      <c r="Q2075" t="n">
        <v>75</v>
      </c>
      <c r="R2075" t="n">
        <v>0.1272</v>
      </c>
      <c r="S2075">
        <f>IMAGE("https://mitra.stanford.edu/kundaje/oak/projects/neuro-variants/variant_position/credible/roussos_2024/variant_figures/roussos_2024.childhood.GLU/rs12475388_count_position.png",4,220,900)</f>
        <v/>
      </c>
      <c r="T2075">
        <f>IMAGE("https://mitra.stanford.edu/kundaje/oak/projects/neuro-variants/variant_position/credible/roussos_2024/variant_figures/roussos_2024.childhood.GLU/rs12475388_profile_position.png",4,220,900)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0.140956128</v>
      </c>
      <c r="G2076" t="n">
        <v>0.0189560777299211</v>
      </c>
      <c r="H2076" t="n">
        <v>0.0326075608299201</v>
      </c>
      <c r="I2076" t="n">
        <v>0.0149370980258339</v>
      </c>
      <c r="J2076" t="n">
        <v>0.1915295620550753</v>
      </c>
      <c r="K2076" t="n">
        <v>0.1544772619633416</v>
      </c>
      <c r="L2076" t="b">
        <v>1</v>
      </c>
      <c r="M2076" t="b">
        <v>0</v>
      </c>
      <c r="N2076" t="inlineStr">
        <is>
          <t>alt</t>
        </is>
      </c>
      <c r="O2076" t="n">
        <v>80</v>
      </c>
      <c r="P2076" t="n">
        <v>0.1753</v>
      </c>
      <c r="Q2076" t="n">
        <v>100</v>
      </c>
      <c r="R2076" t="n">
        <v>0.259</v>
      </c>
      <c r="S2076">
        <f>IMAGE("https://mitra.stanford.edu/kundaje/oak/projects/neuro-variants/variant_position/credible/roussos_2024/variant_figures/roussos_2024.childhood.GLU/rs2196150_count_position.png",4,220,900)</f>
        <v/>
      </c>
      <c r="T2076">
        <f>IMAGE("https://mitra.stanford.edu/kundaje/oak/projects/neuro-variants/variant_position/credible/roussos_2024/variant_figures/roussos_2024.childhood.GLU/rs2196150_profile_position.png",4,220,900)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-0.0110508196</v>
      </c>
      <c r="G2077" t="n">
        <v>0.6526297959390389</v>
      </c>
      <c r="H2077" t="n">
        <v>0.0263218024476349</v>
      </c>
      <c r="I2077" t="n">
        <v>0.0364694392709097</v>
      </c>
      <c r="J2077" t="n">
        <v>0.002204662758713</v>
      </c>
      <c r="K2077" t="n">
        <v>0.7741009689852081</v>
      </c>
      <c r="L2077" t="b">
        <v>0</v>
      </c>
      <c r="M2077" t="b">
        <v>0</v>
      </c>
      <c r="N2077" t="inlineStr">
        <is>
          <t>ref</t>
        </is>
      </c>
      <c r="O2077" t="n">
        <v>15</v>
      </c>
      <c r="P2077" t="n">
        <v>0.000519</v>
      </c>
      <c r="Q2077" t="n">
        <v>65</v>
      </c>
      <c r="R2077" t="n">
        <v>0.09375</v>
      </c>
      <c r="S2077">
        <f>IMAGE("https://mitra.stanford.edu/kundaje/oak/projects/neuro-variants/variant_position/credible/roussos_2024/variant_figures/roussos_2024.childhood.GLU/rs1368889_count_position.png",4,220,900)</f>
        <v/>
      </c>
      <c r="T2077">
        <f>IMAGE("https://mitra.stanford.edu/kundaje/oak/projects/neuro-variants/variant_position/credible/roussos_2024/variant_figures/roussos_2024.childhood.GLU/rs1368889_profile_position.png",4,220,900)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0.0250373913999999</v>
      </c>
      <c r="G2078" t="n">
        <v>0.3696089780712731</v>
      </c>
      <c r="H2078" t="n">
        <v>0.0188048548887674</v>
      </c>
      <c r="I2078" t="n">
        <v>0.1231119721340472</v>
      </c>
      <c r="J2078" t="n">
        <v>0.0628473116507154</v>
      </c>
      <c r="K2078" t="n">
        <v>0.3154116533797093</v>
      </c>
      <c r="L2078" t="b">
        <v>0</v>
      </c>
      <c r="M2078" t="b">
        <v>0</v>
      </c>
      <c r="N2078" t="inlineStr">
        <is>
          <t>alt</t>
        </is>
      </c>
      <c r="O2078" t="n">
        <v>80</v>
      </c>
      <c r="P2078" t="n">
        <v>0.01874</v>
      </c>
      <c r="Q2078" t="n">
        <v>40</v>
      </c>
      <c r="R2078" t="n">
        <v>0.2117</v>
      </c>
      <c r="S2078">
        <f>IMAGE("https://mitra.stanford.edu/kundaje/oak/projects/neuro-variants/variant_position/credible/roussos_2024/variant_figures/roussos_2024.childhood.GLU/rs4665386_count_position.png",4,220,900)</f>
        <v/>
      </c>
      <c r="T2078">
        <f>IMAGE("https://mitra.stanford.edu/kundaje/oak/projects/neuro-variants/variant_position/credible/roussos_2024/variant_figures/roussos_2024.childhood.GLU/rs4665386_profile_position.png",4,220,900)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-0.0026507477999999</v>
      </c>
      <c r="G2079" t="n">
        <v>0.4705665808666429</v>
      </c>
      <c r="H2079" t="n">
        <v>0.0247101200723399</v>
      </c>
      <c r="I2079" t="n">
        <v>0.0464565550474741</v>
      </c>
      <c r="J2079" t="n">
        <v>0.1099086198193</v>
      </c>
      <c r="K2079" t="n">
        <v>0.2316442918721668</v>
      </c>
      <c r="L2079" t="b">
        <v>0</v>
      </c>
      <c r="M2079" t="b">
        <v>0</v>
      </c>
      <c r="N2079" t="inlineStr">
        <is>
          <t>ref</t>
        </is>
      </c>
      <c r="O2079" t="n">
        <v>20</v>
      </c>
      <c r="P2079" t="n">
        <v>0.013916</v>
      </c>
      <c r="Q2079" t="n">
        <v>-80</v>
      </c>
      <c r="R2079" t="n">
        <v>0.1233</v>
      </c>
      <c r="S2079">
        <f>IMAGE("https://mitra.stanford.edu/kundaje/oak/projects/neuro-variants/variant_position/credible/roussos_2024/variant_figures/roussos_2024.childhood.GLU/rs4666013_count_position.png",4,220,900)</f>
        <v/>
      </c>
      <c r="T2079">
        <f>IMAGE("https://mitra.stanford.edu/kundaje/oak/projects/neuro-variants/variant_position/credible/roussos_2024/variant_figures/roussos_2024.childhood.GLU/rs4666013_profile_position.png",4,220,900)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-0.0533102846</v>
      </c>
      <c r="G2080" t="n">
        <v>0.1802443493545348</v>
      </c>
      <c r="H2080" t="n">
        <v>0.0120220842112267</v>
      </c>
      <c r="I2080" t="n">
        <v>0.4585327034038252</v>
      </c>
      <c r="J2080" t="n">
        <v>0.1636477896710519</v>
      </c>
      <c r="K2080" t="n">
        <v>0.1749698549621861</v>
      </c>
      <c r="L2080" t="b">
        <v>0</v>
      </c>
      <c r="M2080" t="b">
        <v>0</v>
      </c>
      <c r="N2080" t="inlineStr">
        <is>
          <t>ref</t>
        </is>
      </c>
      <c r="O2080" t="n">
        <v>-90</v>
      </c>
      <c r="P2080" t="n">
        <v>0.00783</v>
      </c>
      <c r="Q2080" t="n">
        <v>95</v>
      </c>
      <c r="R2080" t="n">
        <v>0.1638</v>
      </c>
      <c r="S2080">
        <f>IMAGE("https://mitra.stanford.edu/kundaje/oak/projects/neuro-variants/variant_position/credible/roussos_2024/variant_figures/roussos_2024.childhood.GLU/rs4666015_count_position.png",4,220,900)</f>
        <v/>
      </c>
      <c r="T2080">
        <f>IMAGE("https://mitra.stanford.edu/kundaje/oak/projects/neuro-variants/variant_position/credible/roussos_2024/variant_figures/roussos_2024.childhood.GLU/rs4666015_profile_position.png",4,220,900)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-0.0178588385</v>
      </c>
      <c r="G2081" t="n">
        <v>0.5058348853383693</v>
      </c>
      <c r="H2081" t="n">
        <v>0.0081194016620167</v>
      </c>
      <c r="I2081" t="n">
        <v>0.8549740008607378</v>
      </c>
      <c r="J2081" t="n">
        <v>0.4604386660760093</v>
      </c>
      <c r="K2081" t="n">
        <v>0.0504772554141942</v>
      </c>
      <c r="L2081" t="b">
        <v>0</v>
      </c>
      <c r="M2081" t="b">
        <v>0</v>
      </c>
      <c r="N2081" t="inlineStr">
        <is>
          <t>ref</t>
        </is>
      </c>
      <c r="O2081" t="n">
        <v>-100</v>
      </c>
      <c r="P2081" t="n">
        <v>0.03717</v>
      </c>
      <c r="Q2081" t="n">
        <v>0</v>
      </c>
      <c r="R2081" t="n">
        <v>0</v>
      </c>
      <c r="S2081">
        <f>IMAGE("https://mitra.stanford.edu/kundaje/oak/projects/neuro-variants/variant_position/credible/roussos_2024/variant_figures/roussos_2024.childhood.GLU/rs7570730_count_position.png",4,220,900)</f>
        <v/>
      </c>
      <c r="T2081">
        <f>IMAGE("https://mitra.stanford.edu/kundaje/oak/projects/neuro-variants/variant_position/credible/roussos_2024/variant_figures/roussos_2024.childhood.GLU/rs7570730_profile_position.png",4,220,900)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-0.0389208595999999</v>
      </c>
      <c r="G2082" t="n">
        <v>0.2729206039922153</v>
      </c>
      <c r="H2082" t="n">
        <v>0.0109190415091</v>
      </c>
      <c r="I2082" t="n">
        <v>0.5591864968921743</v>
      </c>
      <c r="J2082" t="n">
        <v>0.0949787260345946</v>
      </c>
      <c r="K2082" t="n">
        <v>0.2556567957642736</v>
      </c>
      <c r="L2082" t="b">
        <v>0</v>
      </c>
      <c r="M2082" t="b">
        <v>0</v>
      </c>
      <c r="N2082" t="inlineStr">
        <is>
          <t>ref</t>
        </is>
      </c>
      <c r="O2082" t="n">
        <v>-100</v>
      </c>
      <c r="P2082" t="n">
        <v>0.0409</v>
      </c>
      <c r="Q2082" t="n">
        <v>100</v>
      </c>
      <c r="R2082" t="n">
        <v>0.187</v>
      </c>
      <c r="S2082">
        <f>IMAGE("https://mitra.stanford.edu/kundaje/oak/projects/neuro-variants/variant_position/credible/roussos_2024/variant_figures/roussos_2024.childhood.GLU/rs11891769_count_position.png",4,220,900)</f>
        <v/>
      </c>
      <c r="T2082">
        <f>IMAGE("https://mitra.stanford.edu/kundaje/oak/projects/neuro-variants/variant_position/credible/roussos_2024/variant_figures/roussos_2024.childhood.GLU/rs11891769_profile_position.png",4,220,900)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-0.00286638412</v>
      </c>
      <c r="G2083" t="n">
        <v>0.7170923894137124</v>
      </c>
      <c r="H2083" t="n">
        <v>0.0143388472000624</v>
      </c>
      <c r="I2083" t="n">
        <v>0.2898244689943592</v>
      </c>
      <c r="J2083" t="n">
        <v>0.0539627267763503</v>
      </c>
      <c r="K2083" t="n">
        <v>0.345670158608297</v>
      </c>
      <c r="L2083" t="b">
        <v>0</v>
      </c>
      <c r="M2083" t="b">
        <v>0</v>
      </c>
      <c r="N2083" t="inlineStr">
        <is>
          <t>ref</t>
        </is>
      </c>
      <c r="O2083" t="n">
        <v>100</v>
      </c>
      <c r="P2083" t="n">
        <v>0.02101</v>
      </c>
      <c r="Q2083" t="n">
        <v>-10</v>
      </c>
      <c r="R2083" t="n">
        <v>0.02185</v>
      </c>
      <c r="S2083">
        <f>IMAGE("https://mitra.stanford.edu/kundaje/oak/projects/neuro-variants/variant_position/credible/roussos_2024/variant_figures/roussos_2024.childhood.GLU/rs12986980_count_position.png",4,220,900)</f>
        <v/>
      </c>
      <c r="T2083">
        <f>IMAGE("https://mitra.stanford.edu/kundaje/oak/projects/neuro-variants/variant_position/credible/roussos_2024/variant_figures/roussos_2024.childhood.GLU/rs12986980_profile_position.png",4,220,900)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-0.2609248919999999</v>
      </c>
      <c r="G2084" t="n">
        <v>0.0036450724742901</v>
      </c>
      <c r="H2084" t="n">
        <v>0.0387010458039274</v>
      </c>
      <c r="I2084" t="n">
        <v>0.0087360112722076</v>
      </c>
      <c r="J2084" t="n">
        <v>0.1456262169429362</v>
      </c>
      <c r="K2084" t="n">
        <v>0.1912861514611027</v>
      </c>
      <c r="L2084" t="b">
        <v>1</v>
      </c>
      <c r="M2084" t="b">
        <v>1</v>
      </c>
      <c r="N2084" t="inlineStr">
        <is>
          <t>ref</t>
        </is>
      </c>
      <c r="O2084" t="n">
        <v>-75</v>
      </c>
      <c r="P2084" t="n">
        <v>0.002487</v>
      </c>
      <c r="Q2084" t="n">
        <v>-100</v>
      </c>
      <c r="R2084" t="n">
        <v>0.09909999999999999</v>
      </c>
      <c r="S2084">
        <f>IMAGE("https://mitra.stanford.edu/kundaje/oak/projects/neuro-variants/variant_position/credible/roussos_2024/variant_figures/roussos_2024.childhood.GLU/rs4233716_count_position.png",4,220,900)</f>
        <v/>
      </c>
      <c r="T2084">
        <f>IMAGE("https://mitra.stanford.edu/kundaje/oak/projects/neuro-variants/variant_position/credible/roussos_2024/variant_figures/roussos_2024.childhood.GLU/rs4233716_profile_position.png",4,220,900)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0.0446599194</v>
      </c>
      <c r="G2085" t="n">
        <v>0.2214407131045442</v>
      </c>
      <c r="H2085" t="n">
        <v>0.0138790697560826</v>
      </c>
      <c r="I2085" t="n">
        <v>0.3234500243500833</v>
      </c>
      <c r="J2085" t="n">
        <v>0.03996208804228</v>
      </c>
      <c r="K2085" t="n">
        <v>0.3856196689834118</v>
      </c>
      <c r="L2085" t="b">
        <v>0</v>
      </c>
      <c r="M2085" t="b">
        <v>0</v>
      </c>
      <c r="N2085" t="inlineStr">
        <is>
          <t>alt</t>
        </is>
      </c>
      <c r="O2085" t="n">
        <v>45</v>
      </c>
      <c r="P2085" t="n">
        <v>0.00259</v>
      </c>
      <c r="Q2085" t="n">
        <v>45</v>
      </c>
      <c r="R2085" t="n">
        <v>0.0349</v>
      </c>
      <c r="S2085">
        <f>IMAGE("https://mitra.stanford.edu/kundaje/oak/projects/neuro-variants/variant_position/credible/roussos_2024/variant_figures/roussos_2024.childhood.GLU/rs12617171_count_position.png",4,220,900)</f>
        <v/>
      </c>
      <c r="T2085">
        <f>IMAGE("https://mitra.stanford.edu/kundaje/oak/projects/neuro-variants/variant_position/credible/roussos_2024/variant_figures/roussos_2024.childhood.GLU/rs12617171_profile_position.png",4,220,900)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-0.0260025915399999</v>
      </c>
      <c r="G2086" t="n">
        <v>0.3946807938364901</v>
      </c>
      <c r="H2086" t="n">
        <v>0.0111310161878153</v>
      </c>
      <c r="I2086" t="n">
        <v>0.5332480725163697</v>
      </c>
      <c r="J2086" t="n">
        <v>0.0573871655660523</v>
      </c>
      <c r="K2086" t="n">
        <v>0.3390793237751893</v>
      </c>
      <c r="L2086" t="b">
        <v>0</v>
      </c>
      <c r="M2086" t="b">
        <v>0</v>
      </c>
      <c r="N2086" t="inlineStr">
        <is>
          <t>ref</t>
        </is>
      </c>
      <c r="O2086" t="n">
        <v>35</v>
      </c>
      <c r="P2086" t="n">
        <v>0.001556</v>
      </c>
      <c r="Q2086" t="n">
        <v>-35</v>
      </c>
      <c r="R2086" t="n">
        <v>0.03345</v>
      </c>
      <c r="S2086">
        <f>IMAGE("https://mitra.stanford.edu/kundaje/oak/projects/neuro-variants/variant_position/credible/roussos_2024/variant_figures/roussos_2024.childhood.GLU/rs12464988_count_position.png",4,220,900)</f>
        <v/>
      </c>
      <c r="T2086">
        <f>IMAGE("https://mitra.stanford.edu/kundaje/oak/projects/neuro-variants/variant_position/credible/roussos_2024/variant_figures/roussos_2024.childhood.GLU/rs12464988_profile_position.png",4,220,900)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-0.2200997999999999</v>
      </c>
      <c r="G2087" t="n">
        <v>0.0061386312036125</v>
      </c>
      <c r="H2087" t="n">
        <v>0.0322659424081896</v>
      </c>
      <c r="I2087" t="n">
        <v>0.0188725764549373</v>
      </c>
      <c r="J2087" t="n">
        <v>0.1070518301791545</v>
      </c>
      <c r="K2087" t="n">
        <v>0.2343830976048968</v>
      </c>
      <c r="L2087" t="b">
        <v>1</v>
      </c>
      <c r="M2087" t="b">
        <v>1</v>
      </c>
      <c r="N2087" t="inlineStr">
        <is>
          <t>ref</t>
        </is>
      </c>
      <c r="O2087" t="n">
        <v>-25</v>
      </c>
      <c r="P2087" t="n">
        <v>0.004272</v>
      </c>
      <c r="Q2087" t="n">
        <v>-25</v>
      </c>
      <c r="R2087" t="n">
        <v>0.0742</v>
      </c>
      <c r="S2087">
        <f>IMAGE("https://mitra.stanford.edu/kundaje/oak/projects/neuro-variants/variant_position/credible/roussos_2024/variant_figures/roussos_2024.childhood.GLU/rs4233719_count_position.png",4,220,900)</f>
        <v/>
      </c>
      <c r="T2087">
        <f>IMAGE("https://mitra.stanford.edu/kundaje/oak/projects/neuro-variants/variant_position/credible/roussos_2024/variant_figures/roussos_2024.childhood.GLU/rs4233719_profile_position.png",4,220,900)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0.353630018</v>
      </c>
      <c r="G2088" t="n">
        <v>0.0011030338935404</v>
      </c>
      <c r="H2088" t="n">
        <v>0.0573663917385657</v>
      </c>
      <c r="I2088" t="n">
        <v>0.0016722644913573</v>
      </c>
      <c r="J2088" t="n">
        <v>0.0491732514654825</v>
      </c>
      <c r="K2088" t="n">
        <v>0.3669086993011295</v>
      </c>
      <c r="L2088" t="b">
        <v>1</v>
      </c>
      <c r="M2088" t="b">
        <v>1</v>
      </c>
      <c r="N2088" t="inlineStr">
        <is>
          <t>alt</t>
        </is>
      </c>
      <c r="O2088" t="n">
        <v>-100</v>
      </c>
      <c r="P2088" t="n">
        <v>0.01651</v>
      </c>
      <c r="Q2088" t="n">
        <v>-80</v>
      </c>
      <c r="R2088" t="n">
        <v>0.05518</v>
      </c>
      <c r="S2088">
        <f>IMAGE("https://mitra.stanford.edu/kundaje/oak/projects/neuro-variants/variant_position/credible/roussos_2024/variant_figures/roussos_2024.childhood.GLU/rs12466717_count_position.png",4,220,900)</f>
        <v/>
      </c>
      <c r="T2088">
        <f>IMAGE("https://mitra.stanford.edu/kundaje/oak/projects/neuro-variants/variant_position/credible/roussos_2024/variant_figures/roussos_2024.childhood.GLU/rs12466717_profile_position.png",4,220,900)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-0.1120069574</v>
      </c>
      <c r="G2089" t="n">
        <v>0.0454257482204765</v>
      </c>
      <c r="H2089" t="n">
        <v>0.0250904578228547</v>
      </c>
      <c r="I2089" t="n">
        <v>0.0541535952658901</v>
      </c>
      <c r="J2089" t="n">
        <v>0.0359772116167182</v>
      </c>
      <c r="K2089" t="n">
        <v>0.402301386672746</v>
      </c>
      <c r="L2089" t="b">
        <v>0</v>
      </c>
      <c r="M2089" t="b">
        <v>0</v>
      </c>
      <c r="N2089" t="inlineStr">
        <is>
          <t>ref</t>
        </is>
      </c>
      <c r="O2089" t="n">
        <v>-85</v>
      </c>
      <c r="P2089" t="n">
        <v>0.007233</v>
      </c>
      <c r="Q2089" t="n">
        <v>-85</v>
      </c>
      <c r="R2089" t="n">
        <v>0.2269</v>
      </c>
      <c r="S2089">
        <f>IMAGE("https://mitra.stanford.edu/kundaje/oak/projects/neuro-variants/variant_position/credible/roussos_2024/variant_figures/roussos_2024.childhood.GLU/rs6547814_count_position.png",4,220,900)</f>
        <v/>
      </c>
      <c r="T2089">
        <f>IMAGE("https://mitra.stanford.edu/kundaje/oak/projects/neuro-variants/variant_position/credible/roussos_2024/variant_figures/roussos_2024.childhood.GLU/rs6547814_profile_position.png",4,220,900)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-0.132533538</v>
      </c>
      <c r="G2090" t="n">
        <v>0.0242212059143387</v>
      </c>
      <c r="H2090" t="n">
        <v>0.0319631997060298</v>
      </c>
      <c r="I2090" t="n">
        <v>0.0179182733699981</v>
      </c>
      <c r="J2090" t="n">
        <v>0.2592776123708366</v>
      </c>
      <c r="K2090" t="n">
        <v>0.1155107069432742</v>
      </c>
      <c r="L2090" t="b">
        <v>1</v>
      </c>
      <c r="M2090" t="b">
        <v>0</v>
      </c>
      <c r="N2090" t="inlineStr">
        <is>
          <t>ref</t>
        </is>
      </c>
      <c r="O2090" t="n">
        <v>30</v>
      </c>
      <c r="P2090" t="n">
        <v>0.006683</v>
      </c>
      <c r="Q2090" t="n">
        <v>30</v>
      </c>
      <c r="R2090" t="n">
        <v>0.2302</v>
      </c>
      <c r="S2090">
        <f>IMAGE("https://mitra.stanford.edu/kundaje/oak/projects/neuro-variants/variant_position/credible/roussos_2024/variant_figures/roussos_2024.childhood.GLU/rs10177845_count_position.png",4,220,900)</f>
        <v/>
      </c>
      <c r="T2090">
        <f>IMAGE("https://mitra.stanford.edu/kundaje/oak/projects/neuro-variants/variant_position/credible/roussos_2024/variant_figures/roussos_2024.childhood.GLU/rs10177845_profile_position.png",4,220,900)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0.007476358828</v>
      </c>
      <c r="G2091" t="n">
        <v>0.7050737966298646</v>
      </c>
      <c r="H2091" t="n">
        <v>0.0227792199386018</v>
      </c>
      <c r="I2091" t="n">
        <v>0.0620973834996875</v>
      </c>
      <c r="J2091" t="n">
        <v>0.0011229357042042</v>
      </c>
      <c r="K2091" t="n">
        <v>0.8159578932899096</v>
      </c>
      <c r="L2091" t="b">
        <v>0</v>
      </c>
      <c r="M2091" t="b">
        <v>0</v>
      </c>
      <c r="N2091" t="inlineStr">
        <is>
          <t>alt</t>
        </is>
      </c>
      <c r="O2091" t="n">
        <v>-50</v>
      </c>
      <c r="P2091" t="n">
        <v>0.00346</v>
      </c>
      <c r="Q2091" t="n">
        <v>100</v>
      </c>
      <c r="R2091" t="n">
        <v>0.1256</v>
      </c>
      <c r="S2091">
        <f>IMAGE("https://mitra.stanford.edu/kundaje/oak/projects/neuro-variants/variant_position/credible/roussos_2024/variant_figures/roussos_2024.childhood.GLU/rs1458396_count_position.png",4,220,900)</f>
        <v/>
      </c>
      <c r="T2091">
        <f>IMAGE("https://mitra.stanford.edu/kundaje/oak/projects/neuro-variants/variant_position/credible/roussos_2024/variant_figures/roussos_2024.childhood.GLU/rs1458396_profile_position.png",4,220,900)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-0.0215610042</v>
      </c>
      <c r="G2092" t="n">
        <v>0.4491395588511817</v>
      </c>
      <c r="H2092" t="n">
        <v>0.0412624110443213</v>
      </c>
      <c r="I2092" t="n">
        <v>0.0057515016673879</v>
      </c>
      <c r="J2092" t="n">
        <v>0.0009271946181502</v>
      </c>
      <c r="K2092" t="n">
        <v>0.8315884911180139</v>
      </c>
      <c r="L2092" t="b">
        <v>0</v>
      </c>
      <c r="M2092" t="b">
        <v>0</v>
      </c>
      <c r="N2092" t="inlineStr">
        <is>
          <t>ref</t>
        </is>
      </c>
      <c r="O2092" t="n">
        <v>-25</v>
      </c>
      <c r="P2092" t="n">
        <v>0.002686</v>
      </c>
      <c r="Q2092" t="n">
        <v>-100</v>
      </c>
      <c r="R2092" t="n">
        <v>0.06759999999999999</v>
      </c>
      <c r="S2092">
        <f>IMAGE("https://mitra.stanford.edu/kundaje/oak/projects/neuro-variants/variant_position/credible/roussos_2024/variant_figures/roussos_2024.childhood.GLU/rs13012050_count_position.png",4,220,900)</f>
        <v/>
      </c>
      <c r="T2092">
        <f>IMAGE("https://mitra.stanford.edu/kundaje/oak/projects/neuro-variants/variant_position/credible/roussos_2024/variant_figures/roussos_2024.childhood.GLU/rs13012050_profile_position.png",4,220,900)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0.1130622518</v>
      </c>
      <c r="G2093" t="n">
        <v>0.0342333741396102</v>
      </c>
      <c r="H2093" t="n">
        <v>0.0134356380414192</v>
      </c>
      <c r="I2093" t="n">
        <v>0.3379505361160907</v>
      </c>
      <c r="J2093" t="n">
        <v>0.0044381715722129</v>
      </c>
      <c r="K2093" t="n">
        <v>0.6947032945915221</v>
      </c>
      <c r="L2093" t="b">
        <v>0</v>
      </c>
      <c r="M2093" t="b">
        <v>0</v>
      </c>
      <c r="N2093" t="inlineStr">
        <is>
          <t>alt</t>
        </is>
      </c>
      <c r="O2093" t="n">
        <v>100</v>
      </c>
      <c r="P2093" t="n">
        <v>0.06177</v>
      </c>
      <c r="Q2093" t="n">
        <v>20</v>
      </c>
      <c r="R2093" t="n">
        <v>0.01685</v>
      </c>
      <c r="S2093">
        <f>IMAGE("https://mitra.stanford.edu/kundaje/oak/projects/neuro-variants/variant_position/credible/roussos_2024/variant_figures/roussos_2024.childhood.GLU/rs10184052_count_position.png",4,220,900)</f>
        <v/>
      </c>
      <c r="T2093">
        <f>IMAGE("https://mitra.stanford.edu/kundaje/oak/projects/neuro-variants/variant_position/credible/roussos_2024/variant_figures/roussos_2024.childhood.GLU/rs10184052_profile_position.png",4,220,900)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-0.2058352108</v>
      </c>
      <c r="G2094" t="n">
        <v>0.007956502845365501</v>
      </c>
      <c r="H2094" t="n">
        <v>0.0360328212235538</v>
      </c>
      <c r="I2094" t="n">
        <v>0.0118232881931862</v>
      </c>
      <c r="J2094" t="n">
        <v>0.0248292416578239</v>
      </c>
      <c r="K2094" t="n">
        <v>0.4664043653224174</v>
      </c>
      <c r="L2094" t="b">
        <v>1</v>
      </c>
      <c r="M2094" t="b">
        <v>1</v>
      </c>
      <c r="N2094" t="inlineStr">
        <is>
          <t>ref</t>
        </is>
      </c>
      <c r="O2094" t="n">
        <v>-50</v>
      </c>
      <c r="P2094" t="n">
        <v>0.02551</v>
      </c>
      <c r="Q2094" t="n">
        <v>-45</v>
      </c>
      <c r="R2094" t="n">
        <v>0.10266</v>
      </c>
      <c r="S2094">
        <f>IMAGE("https://mitra.stanford.edu/kundaje/oak/projects/neuro-variants/variant_position/credible/roussos_2024/variant_figures/roussos_2024.childhood.GLU/rs4616436_count_position.png",4,220,900)</f>
        <v/>
      </c>
      <c r="T2094">
        <f>IMAGE("https://mitra.stanford.edu/kundaje/oak/projects/neuro-variants/variant_position/credible/roussos_2024/variant_figures/roussos_2024.childhood.GLU/rs4616436_profile_position.png",4,220,900)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-0.0436044008</v>
      </c>
      <c r="G2095" t="n">
        <v>0.2141470343410611</v>
      </c>
      <c r="H2095" t="n">
        <v>0.0119313177226227</v>
      </c>
      <c r="I2095" t="n">
        <v>0.4619844689704082</v>
      </c>
      <c r="J2095" t="n">
        <v>0.0076926246819206</v>
      </c>
      <c r="K2095" t="n">
        <v>0.6201940192351009</v>
      </c>
      <c r="L2095" t="b">
        <v>0</v>
      </c>
      <c r="M2095" t="b">
        <v>0</v>
      </c>
      <c r="N2095" t="inlineStr">
        <is>
          <t>ref</t>
        </is>
      </c>
      <c r="O2095" t="n">
        <v>-50</v>
      </c>
      <c r="P2095" t="n">
        <v>0.001972</v>
      </c>
      <c r="Q2095" t="n">
        <v>5</v>
      </c>
      <c r="R2095" t="n">
        <v>0.005524</v>
      </c>
      <c r="S2095">
        <f>IMAGE("https://mitra.stanford.edu/kundaje/oak/projects/neuro-variants/variant_position/credible/roussos_2024/variant_figures/roussos_2024.childhood.GLU/rs6712162_count_position.png",4,220,900)</f>
        <v/>
      </c>
      <c r="T2095">
        <f>IMAGE("https://mitra.stanford.edu/kundaje/oak/projects/neuro-variants/variant_position/credible/roussos_2024/variant_figures/roussos_2024.childhood.GLU/rs6712162_profile_position.png",4,220,900)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-0.0731937284</v>
      </c>
      <c r="G2096" t="n">
        <v>0.09428344447952119</v>
      </c>
      <c r="H2096" t="n">
        <v>0.0282185196056105</v>
      </c>
      <c r="I2096" t="n">
        <v>0.0294277988005359</v>
      </c>
      <c r="J2096" t="n">
        <v>0.1288965353827768</v>
      </c>
      <c r="K2096" t="n">
        <v>0.2095335546343739</v>
      </c>
      <c r="L2096" t="b">
        <v>0</v>
      </c>
      <c r="M2096" t="b">
        <v>0</v>
      </c>
      <c r="N2096" t="inlineStr">
        <is>
          <t>ref</t>
        </is>
      </c>
      <c r="O2096" t="n">
        <v>60</v>
      </c>
      <c r="P2096" t="n">
        <v>0.007294</v>
      </c>
      <c r="Q2096" t="n">
        <v>100</v>
      </c>
      <c r="R2096" t="n">
        <v>0.394</v>
      </c>
      <c r="S2096">
        <f>IMAGE("https://mitra.stanford.edu/kundaje/oak/projects/neuro-variants/variant_position/credible/roussos_2024/variant_figures/roussos_2024.childhood.GLU/rs1123648_count_position.png",4,220,900)</f>
        <v/>
      </c>
      <c r="T2096">
        <f>IMAGE("https://mitra.stanford.edu/kundaje/oak/projects/neuro-variants/variant_position/credible/roussos_2024/variant_figures/roussos_2024.childhood.GLU/rs1123648_profile_position.png",4,220,900)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-0.0115827853599999</v>
      </c>
      <c r="G2097" t="n">
        <v>0.483491109974824</v>
      </c>
      <c r="H2097" t="n">
        <v>0.009882245364582799</v>
      </c>
      <c r="I2097" t="n">
        <v>0.639823578541217</v>
      </c>
      <c r="J2097" t="n">
        <v>0.0231417474527903</v>
      </c>
      <c r="K2097" t="n">
        <v>0.4773254785207684</v>
      </c>
      <c r="L2097" t="b">
        <v>0</v>
      </c>
      <c r="M2097" t="b">
        <v>0</v>
      </c>
      <c r="N2097" t="inlineStr">
        <is>
          <t>ref</t>
        </is>
      </c>
      <c r="O2097" t="n">
        <v>100</v>
      </c>
      <c r="P2097" t="n">
        <v>0.02843</v>
      </c>
      <c r="Q2097" t="n">
        <v>85</v>
      </c>
      <c r="R2097" t="n">
        <v>0.1312</v>
      </c>
      <c r="S2097">
        <f>IMAGE("https://mitra.stanford.edu/kundaje/oak/projects/neuro-variants/variant_position/credible/roussos_2024/variant_figures/roussos_2024.childhood.GLU/rs6753260_count_position.png",4,220,900)</f>
        <v/>
      </c>
      <c r="T2097">
        <f>IMAGE("https://mitra.stanford.edu/kundaje/oak/projects/neuro-variants/variant_position/credible/roussos_2024/variant_figures/roussos_2024.childhood.GLU/rs6753260_profile_position.png",4,220,900)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0.00184556276</v>
      </c>
      <c r="G2098" t="n">
        <v>0.6977032480482281</v>
      </c>
      <c r="H2098" t="n">
        <v>0.0214728159486545</v>
      </c>
      <c r="I2098" t="n">
        <v>0.07550001684630921</v>
      </c>
      <c r="J2098" t="n">
        <v>0.1002843396828994</v>
      </c>
      <c r="K2098" t="n">
        <v>0.2530067471564307</v>
      </c>
      <c r="L2098" t="b">
        <v>0</v>
      </c>
      <c r="M2098" t="b">
        <v>0</v>
      </c>
      <c r="N2098" t="inlineStr">
        <is>
          <t>alt</t>
        </is>
      </c>
      <c r="O2098" t="n">
        <v>-70</v>
      </c>
      <c r="P2098" t="n">
        <v>0.001251</v>
      </c>
      <c r="Q2098" t="n">
        <v>-95</v>
      </c>
      <c r="R2098" t="n">
        <v>0.0949</v>
      </c>
      <c r="S2098">
        <f>IMAGE("https://mitra.stanford.edu/kundaje/oak/projects/neuro-variants/variant_position/credible/roussos_2024/variant_figures/roussos_2024.childhood.GLU/rs17020136_count_position.png",4,220,900)</f>
        <v/>
      </c>
      <c r="T2098">
        <f>IMAGE("https://mitra.stanford.edu/kundaje/oak/projects/neuro-variants/variant_position/credible/roussos_2024/variant_figures/roussos_2024.childhood.GLU/rs17020136_profile_position.png",4,220,900)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-0.0432267851999999</v>
      </c>
      <c r="G2099" t="n">
        <v>0.2332979767920369</v>
      </c>
      <c r="H2099" t="n">
        <v>0.0195028098927928</v>
      </c>
      <c r="I2099" t="n">
        <v>0.1081559409315605</v>
      </c>
      <c r="J2099" t="n">
        <v>0.0037561684197512</v>
      </c>
      <c r="K2099" t="n">
        <v>0.7119018857373095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0.0204</v>
      </c>
      <c r="Q2099" t="n">
        <v>100</v>
      </c>
      <c r="R2099" t="n">
        <v>0.05884</v>
      </c>
      <c r="S2099">
        <f>IMAGE("https://mitra.stanford.edu/kundaje/oak/projects/neuro-variants/variant_position/credible/roussos_2024/variant_figures/roussos_2024.childhood.GLU/rs28463756_count_position.png",4,220,900)</f>
        <v/>
      </c>
      <c r="T2099">
        <f>IMAGE("https://mitra.stanford.edu/kundaje/oak/projects/neuro-variants/variant_position/credible/roussos_2024/variant_figures/roussos_2024.childhood.GLU/rs28463756_profile_position.png",4,220,900)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0.14876446</v>
      </c>
      <c r="G2100" t="n">
        <v>0.0170104479305309</v>
      </c>
      <c r="H2100" t="n">
        <v>0.0214962226913099</v>
      </c>
      <c r="I2100" t="n">
        <v>0.0770433504527015</v>
      </c>
      <c r="J2100" t="n">
        <v>0.1355599740385506</v>
      </c>
      <c r="K2100" t="n">
        <v>0.2140145913436042</v>
      </c>
      <c r="L2100" t="b">
        <v>1</v>
      </c>
      <c r="M2100" t="b">
        <v>0</v>
      </c>
      <c r="N2100" t="inlineStr">
        <is>
          <t>alt</t>
        </is>
      </c>
      <c r="O2100" t="n">
        <v>-30</v>
      </c>
      <c r="P2100" t="n">
        <v>0.009285</v>
      </c>
      <c r="Q2100" t="n">
        <v>45</v>
      </c>
      <c r="R2100" t="n">
        <v>0.09660000000000001</v>
      </c>
      <c r="S2100">
        <f>IMAGE("https://mitra.stanford.edu/kundaje/oak/projects/neuro-variants/variant_position/credible/roussos_2024/variant_figures/roussos_2024.childhood.GLU/rs4374352_count_position.png",4,220,900)</f>
        <v/>
      </c>
      <c r="T2100">
        <f>IMAGE("https://mitra.stanford.edu/kundaje/oak/projects/neuro-variants/variant_position/credible/roussos_2024/variant_figures/roussos_2024.childhood.GLU/rs4374352_profile_position.png",4,220,900)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-0.0488129606</v>
      </c>
      <c r="G2101" t="n">
        <v>0.1894675793924337</v>
      </c>
      <c r="H2101" t="n">
        <v>0.0107993434936414</v>
      </c>
      <c r="I2101" t="n">
        <v>0.5769832895692187</v>
      </c>
      <c r="J2101" t="n">
        <v>0.1483604108502374</v>
      </c>
      <c r="K2101" t="n">
        <v>0.1896456080258849</v>
      </c>
      <c r="L2101" t="b">
        <v>0</v>
      </c>
      <c r="M2101" t="b">
        <v>0</v>
      </c>
      <c r="N2101" t="inlineStr">
        <is>
          <t>ref</t>
        </is>
      </c>
      <c r="O2101" t="n">
        <v>30</v>
      </c>
      <c r="P2101" t="n">
        <v>0.003033</v>
      </c>
      <c r="Q2101" t="n">
        <v>-90</v>
      </c>
      <c r="R2101" t="n">
        <v>0.1398</v>
      </c>
      <c r="S2101">
        <f>IMAGE("https://mitra.stanford.edu/kundaje/oak/projects/neuro-variants/variant_position/credible/roussos_2024/variant_figures/roussos_2024.childhood.GLU/rs6750763_count_position.png",4,220,900)</f>
        <v/>
      </c>
      <c r="T2101">
        <f>IMAGE("https://mitra.stanford.edu/kundaje/oak/projects/neuro-variants/variant_position/credible/roussos_2024/variant_figures/roussos_2024.childhood.GLU/rs6750763_profile_position.png",4,220,900)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0.01129688796</v>
      </c>
      <c r="G2102" t="n">
        <v>0.4917447904576147</v>
      </c>
      <c r="H2102" t="n">
        <v>0.0249398225570221</v>
      </c>
      <c r="I2102" t="n">
        <v>0.0442380041861901</v>
      </c>
      <c r="J2102" t="n">
        <v>0.0196575561210297</v>
      </c>
      <c r="K2102" t="n">
        <v>0.4955870417009308</v>
      </c>
      <c r="L2102" t="b">
        <v>0</v>
      </c>
      <c r="M2102" t="b">
        <v>0</v>
      </c>
      <c r="N2102" t="inlineStr">
        <is>
          <t>alt</t>
        </is>
      </c>
      <c r="O2102" t="n">
        <v>-50</v>
      </c>
      <c r="P2102" t="n">
        <v>0.006363</v>
      </c>
      <c r="Q2102" t="n">
        <v>-60</v>
      </c>
      <c r="R2102" t="n">
        <v>0.05597</v>
      </c>
      <c r="S2102">
        <f>IMAGE("https://mitra.stanford.edu/kundaje/oak/projects/neuro-variants/variant_position/credible/roussos_2024/variant_figures/roussos_2024.childhood.GLU/rs11124565_count_position.png",4,220,900)</f>
        <v/>
      </c>
      <c r="T2102">
        <f>IMAGE("https://mitra.stanford.edu/kundaje/oak/projects/neuro-variants/variant_position/credible/roussos_2024/variant_figures/roussos_2024.childhood.GLU/rs11124565_profile_position.png",4,220,900)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0.000264106406</v>
      </c>
      <c r="G2103" t="n">
        <v>0.8569143591902064</v>
      </c>
      <c r="H2103" t="n">
        <v>0.0297278733862085</v>
      </c>
      <c r="I2103" t="n">
        <v>0.0217280736674979</v>
      </c>
      <c r="J2103" t="n">
        <v>0.0172592127087475</v>
      </c>
      <c r="K2103" t="n">
        <v>0.5093792961312855</v>
      </c>
      <c r="L2103" t="b">
        <v>0</v>
      </c>
      <c r="M2103" t="b">
        <v>0</v>
      </c>
      <c r="N2103" t="inlineStr">
        <is>
          <t>alt</t>
        </is>
      </c>
      <c r="O2103" t="n">
        <v>85</v>
      </c>
      <c r="P2103" t="n">
        <v>0.01163</v>
      </c>
      <c r="Q2103" t="n">
        <v>-55</v>
      </c>
      <c r="R2103" t="n">
        <v>0.09080000000000001</v>
      </c>
      <c r="S2103">
        <f>IMAGE("https://mitra.stanford.edu/kundaje/oak/projects/neuro-variants/variant_position/credible/roussos_2024/variant_figures/roussos_2024.childhood.GLU/rs4670673_count_position.png",4,220,900)</f>
        <v/>
      </c>
      <c r="T2103">
        <f>IMAGE("https://mitra.stanford.edu/kundaje/oak/projects/neuro-variants/variant_position/credible/roussos_2024/variant_figures/roussos_2024.childhood.GLU/rs4670673_profile_position.png",4,220,900)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0.0122778188</v>
      </c>
      <c r="G2104" t="n">
        <v>0.3591083855966463</v>
      </c>
      <c r="H2104" t="n">
        <v>0.0129780064313874</v>
      </c>
      <c r="I2104" t="n">
        <v>0.3753527077784061</v>
      </c>
      <c r="J2104" t="n">
        <v>0.1136874529963839</v>
      </c>
      <c r="K2104" t="n">
        <v>0.2297743915199707</v>
      </c>
      <c r="L2104" t="b">
        <v>0</v>
      </c>
      <c r="M2104" t="b">
        <v>0</v>
      </c>
      <c r="N2104" t="inlineStr">
        <is>
          <t>alt</t>
        </is>
      </c>
      <c r="O2104" t="n">
        <v>-85</v>
      </c>
      <c r="P2104" t="n">
        <v>0.03317</v>
      </c>
      <c r="Q2104" t="n">
        <v>-75</v>
      </c>
      <c r="R2104" t="n">
        <v>0.02979</v>
      </c>
      <c r="S2104">
        <f>IMAGE("https://mitra.stanford.edu/kundaje/oak/projects/neuro-variants/variant_position/credible/roussos_2024/variant_figures/roussos_2024.childhood.GLU/rs2287093_count_position.png",4,220,900)</f>
        <v/>
      </c>
      <c r="T2104">
        <f>IMAGE("https://mitra.stanford.edu/kundaje/oak/projects/neuro-variants/variant_position/credible/roussos_2024/variant_figures/roussos_2024.childhood.GLU/rs2287093_profile_position.png",4,220,900)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0.03842238648</v>
      </c>
      <c r="G2105" t="n">
        <v>0.2470545722791168</v>
      </c>
      <c r="H2105" t="n">
        <v>0.0111471423206136</v>
      </c>
      <c r="I2105" t="n">
        <v>0.5124591033899776</v>
      </c>
      <c r="J2105" t="n">
        <v>0.1437460723005758</v>
      </c>
      <c r="K2105" t="n">
        <v>0.1935909354149941</v>
      </c>
      <c r="L2105" t="b">
        <v>0</v>
      </c>
      <c r="M2105" t="b">
        <v>0</v>
      </c>
      <c r="N2105" t="inlineStr">
        <is>
          <t>alt</t>
        </is>
      </c>
      <c r="O2105" t="n">
        <v>-100</v>
      </c>
      <c r="P2105" t="n">
        <v>0.04285</v>
      </c>
      <c r="Q2105" t="n">
        <v>-20</v>
      </c>
      <c r="R2105" t="n">
        <v>0.02832</v>
      </c>
      <c r="S2105">
        <f>IMAGE("https://mitra.stanford.edu/kundaje/oak/projects/neuro-variants/variant_position/credible/roussos_2024/variant_figures/roussos_2024.childhood.GLU/rs10182759_count_position.png",4,220,900)</f>
        <v/>
      </c>
      <c r="T2105">
        <f>IMAGE("https://mitra.stanford.edu/kundaje/oak/projects/neuro-variants/variant_position/credible/roussos_2024/variant_figures/roussos_2024.childhood.GLU/rs10182759_profile_position.png",4,220,900)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0.0232006294</v>
      </c>
      <c r="G2106" t="n">
        <v>0.4185330671182884</v>
      </c>
      <c r="H2106" t="n">
        <v>0.0223414202703318</v>
      </c>
      <c r="I2106" t="n">
        <v>0.065461330082997</v>
      </c>
      <c r="J2106" t="n">
        <v>0.1450049965487755</v>
      </c>
      <c r="K2106" t="n">
        <v>0.1929203152664408</v>
      </c>
      <c r="L2106" t="b">
        <v>0</v>
      </c>
      <c r="M2106" t="b">
        <v>0</v>
      </c>
      <c r="N2106" t="inlineStr">
        <is>
          <t>alt</t>
        </is>
      </c>
      <c r="O2106" t="n">
        <v>-40</v>
      </c>
      <c r="P2106" t="n">
        <v>0.02472</v>
      </c>
      <c r="Q2106" t="n">
        <v>-40</v>
      </c>
      <c r="R2106" t="n">
        <v>0.04688</v>
      </c>
      <c r="S2106">
        <f>IMAGE("https://mitra.stanford.edu/kundaje/oak/projects/neuro-variants/variant_position/credible/roussos_2024/variant_figures/roussos_2024.childhood.GLU/rs2041836_count_position.png",4,220,900)</f>
        <v/>
      </c>
      <c r="T2106">
        <f>IMAGE("https://mitra.stanford.edu/kundaje/oak/projects/neuro-variants/variant_position/credible/roussos_2024/variant_figures/roussos_2024.childhood.GLU/rs2041836_profile_position.png",4,220,900)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-0.062677021</v>
      </c>
      <c r="G2107" t="n">
        <v>0.1220578062228677</v>
      </c>
      <c r="H2107" t="n">
        <v>0.0121616480273739</v>
      </c>
      <c r="I2107" t="n">
        <v>0.4387089486247296</v>
      </c>
      <c r="J2107" t="n">
        <v>0.0784746618315184</v>
      </c>
      <c r="K2107" t="n">
        <v>0.2883072660191449</v>
      </c>
      <c r="L2107" t="b">
        <v>0</v>
      </c>
      <c r="M2107" t="b">
        <v>0</v>
      </c>
      <c r="N2107" t="inlineStr">
        <is>
          <t>ref</t>
        </is>
      </c>
      <c r="O2107" t="n">
        <v>90</v>
      </c>
      <c r="P2107" t="n">
        <v>0.01685</v>
      </c>
      <c r="Q2107" t="n">
        <v>95</v>
      </c>
      <c r="R2107" t="n">
        <v>0.02173</v>
      </c>
      <c r="S2107">
        <f>IMAGE("https://mitra.stanford.edu/kundaje/oak/projects/neuro-variants/variant_position/credible/roussos_2024/variant_figures/roussos_2024.childhood.GLU/rs11682607_count_position.png",4,220,900)</f>
        <v/>
      </c>
      <c r="T2107">
        <f>IMAGE("https://mitra.stanford.edu/kundaje/oak/projects/neuro-variants/variant_position/credible/roussos_2024/variant_figures/roussos_2024.childhood.GLU/rs11682607_profile_position.png",4,220,900)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0.01207055252</v>
      </c>
      <c r="G2108" t="n">
        <v>0.5882727561193442</v>
      </c>
      <c r="H2108" t="n">
        <v>0.0326025202176888</v>
      </c>
      <c r="I2108" t="n">
        <v>0.0149239140983121</v>
      </c>
      <c r="J2108" t="n">
        <v>0.0390338632078872</v>
      </c>
      <c r="K2108" t="n">
        <v>0.39432654321847</v>
      </c>
      <c r="L2108" t="b">
        <v>1</v>
      </c>
      <c r="M2108" t="b">
        <v>0</v>
      </c>
      <c r="N2108" t="inlineStr">
        <is>
          <t>alt</t>
        </is>
      </c>
      <c r="O2108" t="n">
        <v>80</v>
      </c>
      <c r="P2108" t="n">
        <v>0.00551</v>
      </c>
      <c r="Q2108" t="n">
        <v>-100</v>
      </c>
      <c r="R2108" t="n">
        <v>0.1506</v>
      </c>
      <c r="S2108">
        <f>IMAGE("https://mitra.stanford.edu/kundaje/oak/projects/neuro-variants/variant_position/credible/roussos_2024/variant_figures/roussos_2024.childhood.GLU/rs11693917_count_position.png",4,220,900)</f>
        <v/>
      </c>
      <c r="T2108">
        <f>IMAGE("https://mitra.stanford.edu/kundaje/oak/projects/neuro-variants/variant_position/credible/roussos_2024/variant_figures/roussos_2024.childhood.GLU/rs11693917_profile_position.png",4,220,900)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-0.022420263</v>
      </c>
      <c r="G2109" t="n">
        <v>0.4341809644948705</v>
      </c>
      <c r="H2109" t="n">
        <v>0.0288369025691178</v>
      </c>
      <c r="I2109" t="n">
        <v>0.024533047306092</v>
      </c>
      <c r="J2109" t="n">
        <v>0.0819804877043691</v>
      </c>
      <c r="K2109" t="n">
        <v>0.2733000884970122</v>
      </c>
      <c r="L2109" t="b">
        <v>0</v>
      </c>
      <c r="M2109" t="b">
        <v>0</v>
      </c>
      <c r="N2109" t="inlineStr">
        <is>
          <t>ref</t>
        </is>
      </c>
      <c r="O2109" t="n">
        <v>80</v>
      </c>
      <c r="P2109" t="n">
        <v>0.0385</v>
      </c>
      <c r="Q2109" t="n">
        <v>-60</v>
      </c>
      <c r="R2109" t="n">
        <v>0.1672</v>
      </c>
      <c r="S2109">
        <f>IMAGE("https://mitra.stanford.edu/kundaje/oak/projects/neuro-variants/variant_position/credible/roussos_2024/variant_figures/roussos_2024.childhood.GLU/rs74177070_count_position.png",4,220,900)</f>
        <v/>
      </c>
      <c r="T2109">
        <f>IMAGE("https://mitra.stanford.edu/kundaje/oak/projects/neuro-variants/variant_position/credible/roussos_2024/variant_figures/roussos_2024.childhood.GLU/rs74177070_profile_position.png",4,220,900)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7.072471599999987e-05</v>
      </c>
      <c r="G2110" t="n">
        <v>0.9082064704363102</v>
      </c>
      <c r="H2110" t="n">
        <v>0.0213986322247428</v>
      </c>
      <c r="I2110" t="n">
        <v>0.07713602391946919</v>
      </c>
      <c r="J2110" t="n">
        <v>0.0079367859313669</v>
      </c>
      <c r="K2110" t="n">
        <v>0.6275177357164899</v>
      </c>
      <c r="L2110" t="b">
        <v>0</v>
      </c>
      <c r="M2110" t="b">
        <v>0</v>
      </c>
      <c r="N2110" t="inlineStr">
        <is>
          <t>alt</t>
        </is>
      </c>
      <c r="O2110" t="n">
        <v>5</v>
      </c>
      <c r="P2110" t="n">
        <v>0.0002136</v>
      </c>
      <c r="Q2110" t="n">
        <v>-35</v>
      </c>
      <c r="R2110" t="n">
        <v>0.05136</v>
      </c>
      <c r="S2110">
        <f>IMAGE("https://mitra.stanford.edu/kundaje/oak/projects/neuro-variants/variant_position/credible/roussos_2024/variant_figures/roussos_2024.childhood.GLU/rs67986063_count_position.png",4,220,900)</f>
        <v/>
      </c>
      <c r="T2110">
        <f>IMAGE("https://mitra.stanford.edu/kundaje/oak/projects/neuro-variants/variant_position/credible/roussos_2024/variant_figures/roussos_2024.childhood.GLU/rs67986063_profile_position.png",4,220,900)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0.0458925068</v>
      </c>
      <c r="G2111" t="n">
        <v>0.1973145250823189</v>
      </c>
      <c r="H2111" t="n">
        <v>0.009720949245122901</v>
      </c>
      <c r="I2111" t="n">
        <v>0.6800554059183636</v>
      </c>
      <c r="J2111" t="n">
        <v>0.000775752830519</v>
      </c>
      <c r="K2111" t="n">
        <v>0.839619108606791</v>
      </c>
      <c r="L2111" t="b">
        <v>0</v>
      </c>
      <c r="M2111" t="b">
        <v>0</v>
      </c>
      <c r="N2111" t="inlineStr">
        <is>
          <t>alt</t>
        </is>
      </c>
      <c r="O2111" t="n">
        <v>-5</v>
      </c>
      <c r="P2111" t="n">
        <v>0.001434</v>
      </c>
      <c r="Q2111" t="n">
        <v>35</v>
      </c>
      <c r="R2111" t="n">
        <v>0.03534</v>
      </c>
      <c r="S2111">
        <f>IMAGE("https://mitra.stanford.edu/kundaje/oak/projects/neuro-variants/variant_position/credible/roussos_2024/variant_figures/roussos_2024.childhood.GLU/rs17504263_count_position.png",4,220,900)</f>
        <v/>
      </c>
      <c r="T2111">
        <f>IMAGE("https://mitra.stanford.edu/kundaje/oak/projects/neuro-variants/variant_position/credible/roussos_2024/variant_figures/roussos_2024.childhood.GLU/rs17504263_profile_position.png",4,220,900)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-0.00481609882</v>
      </c>
      <c r="G2112" t="n">
        <v>0.727181337455164</v>
      </c>
      <c r="H2112" t="n">
        <v>0.0212379884585399</v>
      </c>
      <c r="I2112" t="n">
        <v>0.0783530433768091</v>
      </c>
      <c r="J2112" t="n">
        <v>0.0116836824049367</v>
      </c>
      <c r="K2112" t="n">
        <v>0.5646031309962902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0.06055</v>
      </c>
      <c r="Q2112" t="n">
        <v>-100</v>
      </c>
      <c r="R2112" t="n">
        <v>0.2627</v>
      </c>
      <c r="S2112">
        <f>IMAGE("https://mitra.stanford.edu/kundaje/oak/projects/neuro-variants/variant_position/credible/roussos_2024/variant_figures/roussos_2024.childhood.GLU/rs17041068_count_position.png",4,220,900)</f>
        <v/>
      </c>
      <c r="T2112">
        <f>IMAGE("https://mitra.stanford.edu/kundaje/oak/projects/neuro-variants/variant_position/credible/roussos_2024/variant_figures/roussos_2024.childhood.GLU/rs17041068_profile_position.png",4,220,900)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-0.088313198</v>
      </c>
      <c r="G2113" t="n">
        <v>0.0638016890569798</v>
      </c>
      <c r="H2113" t="n">
        <v>0.0132191995198871</v>
      </c>
      <c r="I2113" t="n">
        <v>0.3689798119156089</v>
      </c>
      <c r="J2113" t="n">
        <v>0.0563198615389369</v>
      </c>
      <c r="K2113" t="n">
        <v>0.3328816109674207</v>
      </c>
      <c r="L2113" t="b">
        <v>0</v>
      </c>
      <c r="M2113" t="b">
        <v>0</v>
      </c>
      <c r="N2113" t="inlineStr">
        <is>
          <t>ref</t>
        </is>
      </c>
      <c r="O2113" t="n">
        <v>15</v>
      </c>
      <c r="P2113" t="n">
        <v>0.001612</v>
      </c>
      <c r="Q2113" t="n">
        <v>-85</v>
      </c>
      <c r="R2113" t="n">
        <v>0.0636</v>
      </c>
      <c r="S2113">
        <f>IMAGE("https://mitra.stanford.edu/kundaje/oak/projects/neuro-variants/variant_position/credible/roussos_2024/variant_figures/roussos_2024.childhood.GLU/rs67206190_count_position.png",4,220,900)</f>
        <v/>
      </c>
      <c r="T2113">
        <f>IMAGE("https://mitra.stanford.edu/kundaje/oak/projects/neuro-variants/variant_position/credible/roussos_2024/variant_figures/roussos_2024.childhood.GLU/rs67206190_profile_position.png",4,220,900)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-0.0395499963999999</v>
      </c>
      <c r="G2114" t="n">
        <v>0.2550990088952001</v>
      </c>
      <c r="H2114" t="n">
        <v>0.0175583778097488</v>
      </c>
      <c r="I2114" t="n">
        <v>0.1518110628114622</v>
      </c>
      <c r="J2114" t="n">
        <v>0.0351314040817167</v>
      </c>
      <c r="K2114" t="n">
        <v>0.4040185418909957</v>
      </c>
      <c r="L2114" t="b">
        <v>0</v>
      </c>
      <c r="M2114" t="b">
        <v>0</v>
      </c>
      <c r="N2114" t="inlineStr">
        <is>
          <t>ref</t>
        </is>
      </c>
      <c r="O2114" t="n">
        <v>100</v>
      </c>
      <c r="P2114" t="n">
        <v>0.0567</v>
      </c>
      <c r="Q2114" t="n">
        <v>30</v>
      </c>
      <c r="R2114" t="n">
        <v>0.06759999999999999</v>
      </c>
      <c r="S2114">
        <f>IMAGE("https://mitra.stanford.edu/kundaje/oak/projects/neuro-variants/variant_position/credible/roussos_2024/variant_figures/roussos_2024.childhood.GLU/rs66848903_count_position.png",4,220,900)</f>
        <v/>
      </c>
      <c r="T2114">
        <f>IMAGE("https://mitra.stanford.edu/kundaje/oak/projects/neuro-variants/variant_position/credible/roussos_2024/variant_figures/roussos_2024.childhood.GLU/rs66848903_profile_position.png",4,220,900)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-0.149877728</v>
      </c>
      <c r="G2115" t="n">
        <v>0.0172877929194798</v>
      </c>
      <c r="H2115" t="n">
        <v>0.0213530811860737</v>
      </c>
      <c r="I2115" t="n">
        <v>0.0810679987020038</v>
      </c>
      <c r="J2115" t="n">
        <v>0.0380644297237989</v>
      </c>
      <c r="K2115" t="n">
        <v>0.396571913580908</v>
      </c>
      <c r="L2115" t="b">
        <v>1</v>
      </c>
      <c r="M2115" t="b">
        <v>0</v>
      </c>
      <c r="N2115" t="inlineStr">
        <is>
          <t>ref</t>
        </is>
      </c>
      <c r="O2115" t="n">
        <v>100</v>
      </c>
      <c r="P2115" t="n">
        <v>0.008149999999999999</v>
      </c>
      <c r="Q2115" t="n">
        <v>-25</v>
      </c>
      <c r="R2115" t="n">
        <v>0.04285</v>
      </c>
      <c r="S2115">
        <f>IMAGE("https://mitra.stanford.edu/kundaje/oak/projects/neuro-variants/variant_position/credible/roussos_2024/variant_figures/roussos_2024.childhood.GLU/rs2941582_count_position.png",4,220,900)</f>
        <v/>
      </c>
      <c r="T2115">
        <f>IMAGE("https://mitra.stanford.edu/kundaje/oak/projects/neuro-variants/variant_position/credible/roussos_2024/variant_figures/roussos_2024.childhood.GLU/rs2941582_profile_position.png",4,220,900)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0.01523042364</v>
      </c>
      <c r="G2116" t="n">
        <v>0.5420190241288027</v>
      </c>
      <c r="H2116" t="n">
        <v>0.019375665415555</v>
      </c>
      <c r="I2116" t="n">
        <v>0.1114630190451368</v>
      </c>
      <c r="J2116" t="n">
        <v>0.3442179113395901</v>
      </c>
      <c r="K2116" t="n">
        <v>0.0809459796007978</v>
      </c>
      <c r="L2116" t="b">
        <v>0</v>
      </c>
      <c r="M2116" t="b">
        <v>0</v>
      </c>
      <c r="N2116" t="inlineStr">
        <is>
          <t>alt</t>
        </is>
      </c>
      <c r="O2116" t="n">
        <v>-100</v>
      </c>
      <c r="P2116" t="n">
        <v>0.07574</v>
      </c>
      <c r="Q2116" t="n">
        <v>-100</v>
      </c>
      <c r="R2116" t="n">
        <v>0.01984</v>
      </c>
      <c r="S2116">
        <f>IMAGE("https://mitra.stanford.edu/kundaje/oak/projects/neuro-variants/variant_position/credible/roussos_2024/variant_figures/roussos_2024.childhood.GLU/rs354216_count_position.png",4,220,900)</f>
        <v/>
      </c>
      <c r="T2116">
        <f>IMAGE("https://mitra.stanford.edu/kundaje/oak/projects/neuro-variants/variant_position/credible/roussos_2024/variant_figures/roussos_2024.childhood.GLU/rs354216_profile_position.png",4,220,900)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-0.156245027</v>
      </c>
      <c r="G2117" t="n">
        <v>0.0157273099152754</v>
      </c>
      <c r="H2117" t="n">
        <v>0.0214023214484331</v>
      </c>
      <c r="I2117" t="n">
        <v>0.0816795884274122</v>
      </c>
      <c r="J2117" t="n">
        <v>0.1379191692336221</v>
      </c>
      <c r="K2117" t="n">
        <v>0.2015931605923116</v>
      </c>
      <c r="L2117" t="b">
        <v>1</v>
      </c>
      <c r="M2117" t="b">
        <v>0</v>
      </c>
      <c r="N2117" t="inlineStr">
        <is>
          <t>ref</t>
        </is>
      </c>
      <c r="O2117" t="n">
        <v>-30</v>
      </c>
      <c r="P2117" t="n">
        <v>0.008189999999999999</v>
      </c>
      <c r="Q2117" t="n">
        <v>85</v>
      </c>
      <c r="R2117" t="n">
        <v>0.01123</v>
      </c>
      <c r="S2117">
        <f>IMAGE("https://mitra.stanford.edu/kundaje/oak/projects/neuro-variants/variant_position/credible/roussos_2024/variant_figures/roussos_2024.childhood.GLU/rs73934803_count_position.png",4,220,900)</f>
        <v/>
      </c>
      <c r="T2117">
        <f>IMAGE("https://mitra.stanford.edu/kundaje/oak/projects/neuro-variants/variant_position/credible/roussos_2024/variant_figures/roussos_2024.childhood.GLU/rs73934803_profile_position.png",4,220,900)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-0.143445158</v>
      </c>
      <c r="G2118" t="n">
        <v>0.0198824134148238</v>
      </c>
      <c r="H2118" t="n">
        <v>0.0210159309969661</v>
      </c>
      <c r="I2118" t="n">
        <v>0.085864010675078</v>
      </c>
      <c r="J2118" t="n">
        <v>0.0915996167595578</v>
      </c>
      <c r="K2118" t="n">
        <v>0.2628086948663275</v>
      </c>
      <c r="L2118" t="b">
        <v>1</v>
      </c>
      <c r="M2118" t="b">
        <v>0</v>
      </c>
      <c r="N2118" t="inlineStr">
        <is>
          <t>ref</t>
        </is>
      </c>
      <c r="O2118" t="n">
        <v>-70</v>
      </c>
      <c r="P2118" t="n">
        <v>0.04565</v>
      </c>
      <c r="Q2118" t="n">
        <v>-80</v>
      </c>
      <c r="R2118" t="n">
        <v>0.2316</v>
      </c>
      <c r="S2118">
        <f>IMAGE("https://mitra.stanford.edu/kundaje/oak/projects/neuro-variants/variant_position/credible/roussos_2024/variant_figures/roussos_2024.childhood.GLU/rs148661029_count_position.png",4,220,900)</f>
        <v/>
      </c>
      <c r="T2118">
        <f>IMAGE("https://mitra.stanford.edu/kundaje/oak/projects/neuro-variants/variant_position/credible/roussos_2024/variant_figures/roussos_2024.childhood.GLU/rs148661029_profile_position.png",4,220,900)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-0.125544307</v>
      </c>
      <c r="G2119" t="n">
        <v>0.0271001094046261</v>
      </c>
      <c r="H2119" t="n">
        <v>0.0206068109365749</v>
      </c>
      <c r="I2119" t="n">
        <v>0.0913015896544295</v>
      </c>
      <c r="J2119" t="n">
        <v>0.0375658050624825</v>
      </c>
      <c r="K2119" t="n">
        <v>0.3931584809298233</v>
      </c>
      <c r="L2119" t="b">
        <v>0</v>
      </c>
      <c r="M2119" t="b">
        <v>0</v>
      </c>
      <c r="N2119" t="inlineStr">
        <is>
          <t>ref</t>
        </is>
      </c>
      <c r="O2119" t="n">
        <v>20</v>
      </c>
      <c r="P2119" t="n">
        <v>0.001595</v>
      </c>
      <c r="Q2119" t="n">
        <v>5</v>
      </c>
      <c r="R2119" t="n">
        <v>0.003418</v>
      </c>
      <c r="S2119">
        <f>IMAGE("https://mitra.stanford.edu/kundaje/oak/projects/neuro-variants/variant_position/credible/roussos_2024/variant_figures/roussos_2024.childhood.GLU/rs10180540_count_position.png",4,220,900)</f>
        <v/>
      </c>
      <c r="T2119">
        <f>IMAGE("https://mitra.stanford.edu/kundaje/oak/projects/neuro-variants/variant_position/credible/roussos_2024/variant_figures/roussos_2024.childhood.GLU/rs10180540_profile_position.png",4,220,900)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-0.003006693899</v>
      </c>
      <c r="G2120" t="n">
        <v>0.8994205034112359</v>
      </c>
      <c r="H2120" t="n">
        <v>0.0085316597474362</v>
      </c>
      <c r="I2120" t="n">
        <v>0.8254336750813656</v>
      </c>
      <c r="J2120" t="n">
        <v>0.024316193969114</v>
      </c>
      <c r="K2120" t="n">
        <v>0.4625400019269824</v>
      </c>
      <c r="L2120" t="b">
        <v>0</v>
      </c>
      <c r="M2120" t="b">
        <v>0</v>
      </c>
      <c r="N2120" t="inlineStr">
        <is>
          <t>ref</t>
        </is>
      </c>
      <c r="O2120" t="n">
        <v>-100</v>
      </c>
      <c r="P2120" t="n">
        <v>0.01441</v>
      </c>
      <c r="Q2120" t="n">
        <v>-100</v>
      </c>
      <c r="R2120" t="n">
        <v>0.2067</v>
      </c>
      <c r="S2120">
        <f>IMAGE("https://mitra.stanford.edu/kundaje/oak/projects/neuro-variants/variant_position/credible/roussos_2024/variant_figures/roussos_2024.childhood.GLU/rs41335055_count_position.png",4,220,900)</f>
        <v/>
      </c>
      <c r="T2120">
        <f>IMAGE("https://mitra.stanford.edu/kundaje/oak/projects/neuro-variants/variant_position/credible/roussos_2024/variant_figures/roussos_2024.childhood.GLU/rs41335055_profile_position.png",4,220,900)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-0.01707261212</v>
      </c>
      <c r="G2121" t="n">
        <v>0.5134410548096706</v>
      </c>
      <c r="H2121" t="n">
        <v>0.0136900870510426</v>
      </c>
      <c r="I2121" t="n">
        <v>0.3284659145377909</v>
      </c>
      <c r="J2121" t="n">
        <v>0.0062534125913028</v>
      </c>
      <c r="K2121" t="n">
        <v>0.6482071141565605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0.09520000000000001</v>
      </c>
      <c r="Q2121" t="n">
        <v>-100</v>
      </c>
      <c r="R2121" t="n">
        <v>0.2607</v>
      </c>
      <c r="S2121">
        <f>IMAGE("https://mitra.stanford.edu/kundaje/oak/projects/neuro-variants/variant_position/credible/roussos_2024/variant_figures/roussos_2024.childhood.GLU/rs77011057_count_position.png",4,220,900)</f>
        <v/>
      </c>
      <c r="T2121">
        <f>IMAGE("https://mitra.stanford.edu/kundaje/oak/projects/neuro-variants/variant_position/credible/roussos_2024/variant_figures/roussos_2024.childhood.GLU/rs77011057_profile_position.png",4,220,900)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-0.03497024346</v>
      </c>
      <c r="G2122" t="n">
        <v>0.3135022932858724</v>
      </c>
      <c r="H2122" t="n">
        <v>0.0281596437910646</v>
      </c>
      <c r="I2122" t="n">
        <v>0.0279364903194178</v>
      </c>
      <c r="J2122" t="n">
        <v>0.0052942812696384</v>
      </c>
      <c r="K2122" t="n">
        <v>0.6859618251256179</v>
      </c>
      <c r="L2122" t="b">
        <v>0</v>
      </c>
      <c r="M2122" t="b">
        <v>0</v>
      </c>
      <c r="N2122" t="inlineStr">
        <is>
          <t>ref</t>
        </is>
      </c>
      <c r="O2122" t="n">
        <v>-75</v>
      </c>
      <c r="P2122" t="n">
        <v>0.002972</v>
      </c>
      <c r="Q2122" t="n">
        <v>-95</v>
      </c>
      <c r="R2122" t="n">
        <v>0.0793</v>
      </c>
      <c r="S2122">
        <f>IMAGE("https://mitra.stanford.edu/kundaje/oak/projects/neuro-variants/variant_position/credible/roussos_2024/variant_figures/roussos_2024.childhood.GLU/rs79017955_count_position.png",4,220,900)</f>
        <v/>
      </c>
      <c r="T2122">
        <f>IMAGE("https://mitra.stanford.edu/kundaje/oak/projects/neuro-variants/variant_position/credible/roussos_2024/variant_figures/roussos_2024.childhood.GLU/rs79017955_profile_position.png",4,220,900)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0.0001665606999999</v>
      </c>
      <c r="G2123" t="n">
        <v>0.8638108522233082</v>
      </c>
      <c r="H2123" t="n">
        <v>0.0199600988698678</v>
      </c>
      <c r="I2123" t="n">
        <v>0.1004392122132522</v>
      </c>
      <c r="J2123" t="n">
        <v>0.0161764554379964</v>
      </c>
      <c r="K2123" t="n">
        <v>0.521044138517742</v>
      </c>
      <c r="L2123" t="b">
        <v>0</v>
      </c>
      <c r="M2123" t="b">
        <v>0</v>
      </c>
      <c r="N2123" t="inlineStr">
        <is>
          <t>alt</t>
        </is>
      </c>
      <c r="O2123" t="n">
        <v>95</v>
      </c>
      <c r="P2123" t="n">
        <v>0.0573</v>
      </c>
      <c r="Q2123" t="n">
        <v>95</v>
      </c>
      <c r="R2123" t="n">
        <v>0.2013</v>
      </c>
      <c r="S2123">
        <f>IMAGE("https://mitra.stanford.edu/kundaje/oak/projects/neuro-variants/variant_position/credible/roussos_2024/variant_figures/roussos_2024.childhood.GLU/rs59159185_count_position.png",4,220,900)</f>
        <v/>
      </c>
      <c r="T2123">
        <f>IMAGE("https://mitra.stanford.edu/kundaje/oak/projects/neuro-variants/variant_position/credible/roussos_2024/variant_figures/roussos_2024.childhood.GLU/rs59159185_profile_position.png",4,220,900)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-0.07531487639999999</v>
      </c>
      <c r="G2124" t="n">
        <v>0.0855225494175508</v>
      </c>
      <c r="H2124" t="n">
        <v>0.0120862643950947</v>
      </c>
      <c r="I2124" t="n">
        <v>0.4489192117834018</v>
      </c>
      <c r="J2124" t="n">
        <v>0.1262509400723211</v>
      </c>
      <c r="K2124" t="n">
        <v>0.2229341780292738</v>
      </c>
      <c r="L2124" t="b">
        <v>0</v>
      </c>
      <c r="M2124" t="b">
        <v>0</v>
      </c>
      <c r="N2124" t="inlineStr">
        <is>
          <t>ref</t>
        </is>
      </c>
      <c r="O2124" t="n">
        <v>-70</v>
      </c>
      <c r="P2124" t="n">
        <v>0.00638</v>
      </c>
      <c r="Q2124" t="n">
        <v>60</v>
      </c>
      <c r="R2124" t="n">
        <v>0.2656</v>
      </c>
      <c r="S2124">
        <f>IMAGE("https://mitra.stanford.edu/kundaje/oak/projects/neuro-variants/variant_position/credible/roussos_2024/variant_figures/roussos_2024.childhood.GLU/rs17828225_count_position.png",4,220,900)</f>
        <v/>
      </c>
      <c r="T2124">
        <f>IMAGE("https://mitra.stanford.edu/kundaje/oak/projects/neuro-variants/variant_position/credible/roussos_2024/variant_figures/roussos_2024.childhood.GLU/rs17828225_profile_position.png",4,220,900)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0.0506765652</v>
      </c>
      <c r="G2125" t="n">
        <v>0.1831311428706246</v>
      </c>
      <c r="H2125" t="n">
        <v>0.0174508661818209</v>
      </c>
      <c r="I2125" t="n">
        <v>0.1609867878528119</v>
      </c>
      <c r="J2125" t="n">
        <v>0.0563033780790587</v>
      </c>
      <c r="K2125" t="n">
        <v>0.3315180974901358</v>
      </c>
      <c r="L2125" t="b">
        <v>0</v>
      </c>
      <c r="M2125" t="b">
        <v>0</v>
      </c>
      <c r="N2125" t="inlineStr">
        <is>
          <t>alt</t>
        </is>
      </c>
      <c r="O2125" t="n">
        <v>100</v>
      </c>
      <c r="P2125" t="n">
        <v>0.004944</v>
      </c>
      <c r="Q2125" t="n">
        <v>-65</v>
      </c>
      <c r="R2125" t="n">
        <v>0.1443</v>
      </c>
      <c r="S2125">
        <f>IMAGE("https://mitra.stanford.edu/kundaje/oak/projects/neuro-variants/variant_position/credible/roussos_2024/variant_figures/roussos_2024.childhood.GLU/rs2678915_count_position.png",4,220,900)</f>
        <v/>
      </c>
      <c r="T2125">
        <f>IMAGE("https://mitra.stanford.edu/kundaje/oak/projects/neuro-variants/variant_position/credible/roussos_2024/variant_figures/roussos_2024.childhood.GLU/rs2678915_profile_position.png",4,220,900)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0.0720246522</v>
      </c>
      <c r="G2126" t="n">
        <v>0.1260341826231515</v>
      </c>
      <c r="H2126" t="n">
        <v>0.0211275275114336</v>
      </c>
      <c r="I2126" t="n">
        <v>0.1120017453789442</v>
      </c>
      <c r="J2126" t="n">
        <v>0.1115744794832434</v>
      </c>
      <c r="K2126" t="n">
        <v>0.2283243391073054</v>
      </c>
      <c r="L2126" t="b">
        <v>0</v>
      </c>
      <c r="M2126" t="b">
        <v>0</v>
      </c>
      <c r="N2126" t="inlineStr">
        <is>
          <t>alt</t>
        </is>
      </c>
      <c r="O2126" t="n">
        <v>65</v>
      </c>
      <c r="P2126" t="n">
        <v>0.00975</v>
      </c>
      <c r="Q2126" t="n">
        <v>100</v>
      </c>
      <c r="R2126" t="n">
        <v>0.1304</v>
      </c>
      <c r="S2126">
        <f>IMAGE("https://mitra.stanford.edu/kundaje/oak/projects/neuro-variants/variant_position/credible/roussos_2024/variant_figures/roussos_2024.childhood.GLU/rs77843640_count_position.png",4,220,900)</f>
        <v/>
      </c>
      <c r="T2126">
        <f>IMAGE("https://mitra.stanford.edu/kundaje/oak/projects/neuro-variants/variant_position/credible/roussos_2024/variant_figures/roussos_2024.childhood.GLU/rs77843640_profile_position.png",4,220,900)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-0.06893657139999999</v>
      </c>
      <c r="G2127" t="n">
        <v>0.1031178422233453</v>
      </c>
      <c r="H2127" t="n">
        <v>0.0127642050051905</v>
      </c>
      <c r="I2127" t="n">
        <v>0.3926349488958567</v>
      </c>
      <c r="J2127" t="n">
        <v>0.0901336190466378</v>
      </c>
      <c r="K2127" t="n">
        <v>0.2617781350779218</v>
      </c>
      <c r="L2127" t="b">
        <v>0</v>
      </c>
      <c r="M2127" t="b">
        <v>0</v>
      </c>
      <c r="N2127" t="inlineStr">
        <is>
          <t>ref</t>
        </is>
      </c>
      <c r="O2127" t="n">
        <v>-100</v>
      </c>
      <c r="P2127" t="n">
        <v>0.00874</v>
      </c>
      <c r="Q2127" t="n">
        <v>-100</v>
      </c>
      <c r="R2127" t="n">
        <v>0.2339</v>
      </c>
      <c r="S2127">
        <f>IMAGE("https://mitra.stanford.edu/kundaje/oak/projects/neuro-variants/variant_position/credible/roussos_2024/variant_figures/roussos_2024.childhood.GLU/rs2717007_count_position.png",4,220,900)</f>
        <v/>
      </c>
      <c r="T2127">
        <f>IMAGE("https://mitra.stanford.edu/kundaje/oak/projects/neuro-variants/variant_position/credible/roussos_2024/variant_figures/roussos_2024.childhood.GLU/rs2717007_profile_position.png",4,220,900)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-0.040753702</v>
      </c>
      <c r="G2128" t="n">
        <v>0.2601962508206221</v>
      </c>
      <c r="H2128" t="n">
        <v>0.0277976188666407</v>
      </c>
      <c r="I2128" t="n">
        <v>0.0282988129433525</v>
      </c>
      <c r="J2128" t="n">
        <v>0.0040765656711343</v>
      </c>
      <c r="K2128" t="n">
        <v>0.6931329979233601</v>
      </c>
      <c r="L2128" t="b">
        <v>0</v>
      </c>
      <c r="M2128" t="b">
        <v>0</v>
      </c>
      <c r="N2128" t="inlineStr">
        <is>
          <t>ref</t>
        </is>
      </c>
      <c r="O2128" t="n">
        <v>-95</v>
      </c>
      <c r="P2128" t="n">
        <v>0.007576</v>
      </c>
      <c r="Q2128" t="n">
        <v>-80</v>
      </c>
      <c r="R2128" t="n">
        <v>0.2214</v>
      </c>
      <c r="S2128">
        <f>IMAGE("https://mitra.stanford.edu/kundaje/oak/projects/neuro-variants/variant_position/credible/roussos_2024/variant_figures/roussos_2024.childhood.GLU/rs2717019_count_position.png",4,220,900)</f>
        <v/>
      </c>
      <c r="T2128">
        <f>IMAGE("https://mitra.stanford.edu/kundaje/oak/projects/neuro-variants/variant_position/credible/roussos_2024/variant_figures/roussos_2024.childhood.GLU/rs2717019_profile_position.png",4,220,900)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0.0372454572</v>
      </c>
      <c r="G2129" t="n">
        <v>0.2607272814202438</v>
      </c>
      <c r="H2129" t="n">
        <v>0.019076470029057</v>
      </c>
      <c r="I2129" t="n">
        <v>0.1166463555609978</v>
      </c>
      <c r="J2129" t="n">
        <v>0.0036902345802383</v>
      </c>
      <c r="K2129" t="n">
        <v>0.7062423313253744</v>
      </c>
      <c r="L2129" t="b">
        <v>0</v>
      </c>
      <c r="M2129" t="b">
        <v>0</v>
      </c>
      <c r="N2129" t="inlineStr">
        <is>
          <t>alt</t>
        </is>
      </c>
      <c r="O2129" t="n">
        <v>100</v>
      </c>
      <c r="P2129" t="n">
        <v>0.01593</v>
      </c>
      <c r="Q2129" t="n">
        <v>100</v>
      </c>
      <c r="R2129" t="n">
        <v>0.3525</v>
      </c>
      <c r="S2129">
        <f>IMAGE("https://mitra.stanford.edu/kundaje/oak/projects/neuro-variants/variant_position/credible/roussos_2024/variant_figures/roussos_2024.childhood.GLU/rs2678888_count_position.png",4,220,900)</f>
        <v/>
      </c>
      <c r="T2129">
        <f>IMAGE("https://mitra.stanford.edu/kundaje/oak/projects/neuro-variants/variant_position/credible/roussos_2024/variant_figures/roussos_2024.childhood.GLU/rs2678888_profile_position.png",4,220,900)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0.111019944</v>
      </c>
      <c r="G2130" t="n">
        <v>0.0352646238995677</v>
      </c>
      <c r="H2130" t="n">
        <v>0.0191422532585789</v>
      </c>
      <c r="I2130" t="n">
        <v>0.1174825289568079</v>
      </c>
      <c r="J2130" t="n">
        <v>0.0054179072187251</v>
      </c>
      <c r="K2130" t="n">
        <v>0.6730314315553557</v>
      </c>
      <c r="L2130" t="b">
        <v>0</v>
      </c>
      <c r="M2130" t="b">
        <v>0</v>
      </c>
      <c r="N2130" t="inlineStr">
        <is>
          <t>alt</t>
        </is>
      </c>
      <c r="O2130" t="n">
        <v>-100</v>
      </c>
      <c r="P2130" t="n">
        <v>0.02837</v>
      </c>
      <c r="Q2130" t="n">
        <v>-100</v>
      </c>
      <c r="R2130" t="n">
        <v>0.2559</v>
      </c>
      <c r="S2130">
        <f>IMAGE("https://mitra.stanford.edu/kundaje/oak/projects/neuro-variants/variant_position/credible/roussos_2024/variant_figures/roussos_2024.childhood.GLU/rs970941_count_position.png",4,220,900)</f>
        <v/>
      </c>
      <c r="T2130">
        <f>IMAGE("https://mitra.stanford.edu/kundaje/oak/projects/neuro-variants/variant_position/credible/roussos_2024/variant_figures/roussos_2024.childhood.GLU/rs970941_profile_position.png",4,220,900)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0.030905645</v>
      </c>
      <c r="G2131" t="n">
        <v>0.3217776930552124</v>
      </c>
      <c r="H2131" t="n">
        <v>0.0242989317005614</v>
      </c>
      <c r="I2131" t="n">
        <v>0.0488009552165102</v>
      </c>
      <c r="J2131" t="n">
        <v>0.0002802188179298</v>
      </c>
      <c r="K2131" t="n">
        <v>0.9022904846438348</v>
      </c>
      <c r="L2131" t="b">
        <v>0</v>
      </c>
      <c r="M2131" t="b">
        <v>0</v>
      </c>
      <c r="N2131" t="inlineStr">
        <is>
          <t>alt</t>
        </is>
      </c>
      <c r="O2131" t="n">
        <v>-35</v>
      </c>
      <c r="P2131" t="n">
        <v>0.002102</v>
      </c>
      <c r="Q2131" t="n">
        <v>-40</v>
      </c>
      <c r="R2131" t="n">
        <v>0.01236</v>
      </c>
      <c r="S2131">
        <f>IMAGE("https://mitra.stanford.edu/kundaje/oak/projects/neuro-variants/variant_position/credible/roussos_2024/variant_figures/roussos_2024.childhood.GLU/rs2678891_count_position.png",4,220,900)</f>
        <v/>
      </c>
      <c r="T2131">
        <f>IMAGE("https://mitra.stanford.edu/kundaje/oak/projects/neuro-variants/variant_position/credible/roussos_2024/variant_figures/roussos_2024.childhood.GLU/rs2678891_profile_position.png",4,220,900)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-0.0198397509999999</v>
      </c>
      <c r="G2132" t="n">
        <v>0.4787611026598611</v>
      </c>
      <c r="H2132" t="n">
        <v>0.0207402462641109</v>
      </c>
      <c r="I2132" t="n">
        <v>0.08805684077099819</v>
      </c>
      <c r="J2132" t="n">
        <v>0.0014618768479503</v>
      </c>
      <c r="K2132" t="n">
        <v>0.7987144253745631</v>
      </c>
      <c r="L2132" t="b">
        <v>0</v>
      </c>
      <c r="M2132" t="b">
        <v>0</v>
      </c>
      <c r="N2132" t="inlineStr">
        <is>
          <t>ref</t>
        </is>
      </c>
      <c r="O2132" t="n">
        <v>-75</v>
      </c>
      <c r="P2132" t="n">
        <v>0.00325</v>
      </c>
      <c r="Q2132" t="n">
        <v>15</v>
      </c>
      <c r="R2132" t="n">
        <v>0.03098</v>
      </c>
      <c r="S2132">
        <f>IMAGE("https://mitra.stanford.edu/kundaje/oak/projects/neuro-variants/variant_position/credible/roussos_2024/variant_figures/roussos_2024.childhood.GLU/rs1568254_count_position.png",4,220,900)</f>
        <v/>
      </c>
      <c r="T2132">
        <f>IMAGE("https://mitra.stanford.edu/kundaje/oak/projects/neuro-variants/variant_position/credible/roussos_2024/variant_figures/roussos_2024.childhood.GLU/rs1568254_profile_position.png",4,220,900)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-0.0533587564</v>
      </c>
      <c r="G2133" t="n">
        <v>0.1994533346552617</v>
      </c>
      <c r="H2133" t="n">
        <v>0.0384752130052632</v>
      </c>
      <c r="I2133" t="n">
        <v>0.0077317733811521</v>
      </c>
      <c r="J2133" t="n">
        <v>0.1026620787703338</v>
      </c>
      <c r="K2133" t="n">
        <v>0.248850822199556</v>
      </c>
      <c r="L2133" t="b">
        <v>1</v>
      </c>
      <c r="M2133" t="b">
        <v>1</v>
      </c>
      <c r="N2133" t="inlineStr">
        <is>
          <t>ref</t>
        </is>
      </c>
      <c r="O2133" t="n">
        <v>-100</v>
      </c>
      <c r="P2133" t="n">
        <v>0.014435</v>
      </c>
      <c r="Q2133" t="n">
        <v>-90</v>
      </c>
      <c r="R2133" t="n">
        <v>0.3237</v>
      </c>
      <c r="S2133">
        <f>IMAGE("https://mitra.stanford.edu/kundaje/oak/projects/neuro-variants/variant_position/credible/roussos_2024/variant_figures/roussos_2024.childhood.GLU/rs1518393_count_position.png",4,220,900)</f>
        <v/>
      </c>
      <c r="T2133">
        <f>IMAGE("https://mitra.stanford.edu/kundaje/oak/projects/neuro-variants/variant_position/credible/roussos_2024/variant_figures/roussos_2024.childhood.GLU/rs1518393_profile_position.png",4,220,900)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-0.02908839948</v>
      </c>
      <c r="G2134" t="n">
        <v>0.3724733928788285</v>
      </c>
      <c r="H2134" t="n">
        <v>0.0114463702060439</v>
      </c>
      <c r="I2134" t="n">
        <v>0.5114278610940998</v>
      </c>
      <c r="J2134" t="n">
        <v>0.0006634592600986</v>
      </c>
      <c r="K2134" t="n">
        <v>0.8542929368411933</v>
      </c>
      <c r="L2134" t="b">
        <v>0</v>
      </c>
      <c r="M2134" t="b">
        <v>0</v>
      </c>
      <c r="N2134" t="inlineStr">
        <is>
          <t>ref</t>
        </is>
      </c>
      <c r="O2134" t="n">
        <v>95</v>
      </c>
      <c r="P2134" t="n">
        <v>0.01799</v>
      </c>
      <c r="Q2134" t="n">
        <v>65</v>
      </c>
      <c r="R2134" t="n">
        <v>0.0895</v>
      </c>
      <c r="S2134">
        <f>IMAGE("https://mitra.stanford.edu/kundaje/oak/projects/neuro-variants/variant_position/credible/roussos_2024/variant_figures/roussos_2024.childhood.GLU/rs59913344_count_position.png",4,220,900)</f>
        <v/>
      </c>
      <c r="T2134">
        <f>IMAGE("https://mitra.stanford.edu/kundaje/oak/projects/neuro-variants/variant_position/credible/roussos_2024/variant_figures/roussos_2024.childhood.GLU/rs59913344_profile_position.png",4,220,900)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-0.0209866022999999</v>
      </c>
      <c r="G2135" t="n">
        <v>0.41565445530039</v>
      </c>
      <c r="H2135" t="n">
        <v>0.0194416086906465</v>
      </c>
      <c r="I2135" t="n">
        <v>0.1164785175052875</v>
      </c>
      <c r="J2135" t="n">
        <v>0.0852555451389246</v>
      </c>
      <c r="K2135" t="n">
        <v>0.2728016485061693</v>
      </c>
      <c r="L2135" t="b">
        <v>0</v>
      </c>
      <c r="M2135" t="b">
        <v>0</v>
      </c>
      <c r="N2135" t="inlineStr">
        <is>
          <t>ref</t>
        </is>
      </c>
      <c r="O2135" t="n">
        <v>40</v>
      </c>
      <c r="P2135" t="n">
        <v>0.008070000000000001</v>
      </c>
      <c r="Q2135" t="n">
        <v>20</v>
      </c>
      <c r="R2135" t="n">
        <v>0.02881</v>
      </c>
      <c r="S2135">
        <f>IMAGE("https://mitra.stanford.edu/kundaje/oak/projects/neuro-variants/variant_position/credible/roussos_2024/variant_figures/roussos_2024.childhood.GLU/rs6732310_count_position.png",4,220,900)</f>
        <v/>
      </c>
      <c r="T2135">
        <f>IMAGE("https://mitra.stanford.edu/kundaje/oak/projects/neuro-variants/variant_position/credible/roussos_2024/variant_figures/roussos_2024.childhood.GLU/rs6732310_profile_position.png",4,220,900)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-0.09533787000000001</v>
      </c>
      <c r="G2136" t="n">
        <v>0.0500313220668487</v>
      </c>
      <c r="H2136" t="n">
        <v>0.0264985988584089</v>
      </c>
      <c r="I2136" t="n">
        <v>0.0361050699253227</v>
      </c>
      <c r="J2136" t="n">
        <v>0.0092018914770209</v>
      </c>
      <c r="K2136" t="n">
        <v>0.6331093589731777</v>
      </c>
      <c r="L2136" t="b">
        <v>0</v>
      </c>
      <c r="M2136" t="b">
        <v>0</v>
      </c>
      <c r="N2136" t="inlineStr">
        <is>
          <t>ref</t>
        </is>
      </c>
      <c r="O2136" t="n">
        <v>100</v>
      </c>
      <c r="P2136" t="n">
        <v>0.02257</v>
      </c>
      <c r="Q2136" t="n">
        <v>-100</v>
      </c>
      <c r="R2136" t="n">
        <v>0.02515</v>
      </c>
      <c r="S2136">
        <f>IMAGE("https://mitra.stanford.edu/kundaje/oak/projects/neuro-variants/variant_position/credible/roussos_2024/variant_figures/roussos_2024.childhood.GLU/rs17049298_count_position.png",4,220,900)</f>
        <v/>
      </c>
      <c r="T2136">
        <f>IMAGE("https://mitra.stanford.edu/kundaje/oak/projects/neuro-variants/variant_position/credible/roussos_2024/variant_figures/roussos_2024.childhood.GLU/rs17049298_profile_position.png",4,220,900)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0.047858067</v>
      </c>
      <c r="G2137" t="n">
        <v>0.192166126583849</v>
      </c>
      <c r="H2137" t="n">
        <v>0.014219539668508</v>
      </c>
      <c r="I2137" t="n">
        <v>0.2926850804246451</v>
      </c>
      <c r="J2137" t="n">
        <v>0.0239824039065799</v>
      </c>
      <c r="K2137" t="n">
        <v>0.4784844729792787</v>
      </c>
      <c r="L2137" t="b">
        <v>0</v>
      </c>
      <c r="M2137" t="b">
        <v>0</v>
      </c>
      <c r="N2137" t="inlineStr">
        <is>
          <t>alt</t>
        </is>
      </c>
      <c r="O2137" t="n">
        <v>-100</v>
      </c>
      <c r="P2137" t="n">
        <v>0.01688</v>
      </c>
      <c r="Q2137" t="n">
        <v>90</v>
      </c>
      <c r="R2137" t="n">
        <v>0.1848</v>
      </c>
      <c r="S2137">
        <f>IMAGE("https://mitra.stanford.edu/kundaje/oak/projects/neuro-variants/variant_position/credible/roussos_2024/variant_figures/roussos_2024.childhood.GLU/rs3771204_count_position.png",4,220,900)</f>
        <v/>
      </c>
      <c r="T2137">
        <f>IMAGE("https://mitra.stanford.edu/kundaje/oak/projects/neuro-variants/variant_position/credible/roussos_2024/variant_figures/roussos_2024.childhood.GLU/rs3771204_profile_position.png",4,220,900)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0.1259253968</v>
      </c>
      <c r="G2138" t="n">
        <v>0.0264612152222478</v>
      </c>
      <c r="H2138" t="n">
        <v>0.0183594516050887</v>
      </c>
      <c r="I2138" t="n">
        <v>0.1332950241349266</v>
      </c>
      <c r="J2138" t="n">
        <v>0.0419256802002739</v>
      </c>
      <c r="K2138" t="n">
        <v>0.3810877113824966</v>
      </c>
      <c r="L2138" t="b">
        <v>0</v>
      </c>
      <c r="M2138" t="b">
        <v>0</v>
      </c>
      <c r="N2138" t="inlineStr">
        <is>
          <t>alt</t>
        </is>
      </c>
      <c r="O2138" t="n">
        <v>80</v>
      </c>
      <c r="P2138" t="n">
        <v>0.00865</v>
      </c>
      <c r="Q2138" t="n">
        <v>90</v>
      </c>
      <c r="R2138" t="n">
        <v>0.08044</v>
      </c>
      <c r="S2138">
        <f>IMAGE("https://mitra.stanford.edu/kundaje/oak/projects/neuro-variants/variant_position/credible/roussos_2024/variant_figures/roussos_2024.childhood.GLU/rs12620940_count_position.png",4,220,900)</f>
        <v/>
      </c>
      <c r="T2138">
        <f>IMAGE("https://mitra.stanford.edu/kundaje/oak/projects/neuro-variants/variant_position/credible/roussos_2024/variant_figures/roussos_2024.childhood.GLU/rs12620940_profile_position.png",4,220,900)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0.00601094612</v>
      </c>
      <c r="G2139" t="n">
        <v>0.6172272024585447</v>
      </c>
      <c r="H2139" t="n">
        <v>0.0267616927140774</v>
      </c>
      <c r="I2139" t="n">
        <v>0.0339841809457809</v>
      </c>
      <c r="J2139" t="n">
        <v>0.003107132187046</v>
      </c>
      <c r="K2139" t="n">
        <v>0.7279280450461706</v>
      </c>
      <c r="L2139" t="b">
        <v>0</v>
      </c>
      <c r="M2139" t="b">
        <v>0</v>
      </c>
      <c r="N2139" t="inlineStr">
        <is>
          <t>alt</t>
        </is>
      </c>
      <c r="O2139" t="n">
        <v>100</v>
      </c>
      <c r="P2139" t="n">
        <v>0.0978</v>
      </c>
      <c r="Q2139" t="n">
        <v>65</v>
      </c>
      <c r="R2139" t="n">
        <v>0.07965</v>
      </c>
      <c r="S2139">
        <f>IMAGE("https://mitra.stanford.edu/kundaje/oak/projects/neuro-variants/variant_position/credible/roussos_2024/variant_figures/roussos_2024.childhood.GLU/rs2118899_count_position.png",4,220,900)</f>
        <v/>
      </c>
      <c r="T2139">
        <f>IMAGE("https://mitra.stanford.edu/kundaje/oak/projects/neuro-variants/variant_position/credible/roussos_2024/variant_figures/roussos_2024.childhood.GLU/rs2118899_profile_position.png",4,220,900)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-0.004691970316</v>
      </c>
      <c r="G2140" t="n">
        <v>0.7904165213561219</v>
      </c>
      <c r="H2140" t="n">
        <v>0.0335224735230305</v>
      </c>
      <c r="I2140" t="n">
        <v>0.0135744190602159</v>
      </c>
      <c r="J2140" t="n">
        <v>0.0063584946480265</v>
      </c>
      <c r="K2140" t="n">
        <v>0.6421315505418687</v>
      </c>
      <c r="L2140" t="b">
        <v>0</v>
      </c>
      <c r="M2140" t="b">
        <v>0</v>
      </c>
      <c r="N2140" t="inlineStr">
        <is>
          <t>ref</t>
        </is>
      </c>
      <c r="O2140" t="n">
        <v>-95</v>
      </c>
      <c r="P2140" t="n">
        <v>0.02174</v>
      </c>
      <c r="Q2140" t="n">
        <v>95</v>
      </c>
      <c r="R2140" t="n">
        <v>0.0935</v>
      </c>
      <c r="S2140">
        <f>IMAGE("https://mitra.stanford.edu/kundaje/oak/projects/neuro-variants/variant_position/credible/roussos_2024/variant_figures/roussos_2024.childhood.GLU/rs17049366_count_position.png",4,220,900)</f>
        <v/>
      </c>
      <c r="T2140">
        <f>IMAGE("https://mitra.stanford.edu/kundaje/oak/projects/neuro-variants/variant_position/credible/roussos_2024/variant_figures/roussos_2024.childhood.GLU/rs17049366_profile_position.png",4,220,900)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-0.0199850972</v>
      </c>
      <c r="G2141" t="n">
        <v>0.4731839102751415</v>
      </c>
      <c r="H2141" t="n">
        <v>0.0142417791299322</v>
      </c>
      <c r="I2141" t="n">
        <v>0.2920004621499831</v>
      </c>
      <c r="J2141" t="n">
        <v>0.0561076369930047</v>
      </c>
      <c r="K2141" t="n">
        <v>0.3333431471093892</v>
      </c>
      <c r="L2141" t="b">
        <v>0</v>
      </c>
      <c r="M2141" t="b">
        <v>0</v>
      </c>
      <c r="N2141" t="inlineStr">
        <is>
          <t>ref</t>
        </is>
      </c>
      <c r="O2141" t="n">
        <v>-100</v>
      </c>
      <c r="P2141" t="n">
        <v>0.00873</v>
      </c>
      <c r="Q2141" t="n">
        <v>-100</v>
      </c>
      <c r="R2141" t="n">
        <v>0.04846</v>
      </c>
      <c r="S2141">
        <f>IMAGE("https://mitra.stanford.edu/kundaje/oak/projects/neuro-variants/variant_position/credible/roussos_2024/variant_figures/roussos_2024.childhood.GLU/rs848293_count_position.png",4,220,900)</f>
        <v/>
      </c>
      <c r="T2141">
        <f>IMAGE("https://mitra.stanford.edu/kundaje/oak/projects/neuro-variants/variant_position/credible/roussos_2024/variant_figures/roussos_2024.childhood.GLU/rs848293_profile_position.png",4,220,900)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0.0536532494</v>
      </c>
      <c r="G2142" t="n">
        <v>0.1576233449596624</v>
      </c>
      <c r="H2142" t="n">
        <v>0.0127379364710983</v>
      </c>
      <c r="I2142" t="n">
        <v>0.3802904189322567</v>
      </c>
      <c r="J2142" t="n">
        <v>0.1463102805278827</v>
      </c>
      <c r="K2142" t="n">
        <v>0.1897613735448647</v>
      </c>
      <c r="L2142" t="b">
        <v>0</v>
      </c>
      <c r="M2142" t="b">
        <v>0</v>
      </c>
      <c r="N2142" t="inlineStr">
        <is>
          <t>alt</t>
        </is>
      </c>
      <c r="O2142" t="n">
        <v>50</v>
      </c>
      <c r="P2142" t="n">
        <v>0.003765</v>
      </c>
      <c r="Q2142" t="n">
        <v>-85</v>
      </c>
      <c r="R2142" t="n">
        <v>0.08167000000000001</v>
      </c>
      <c r="S2142">
        <f>IMAGE("https://mitra.stanford.edu/kundaje/oak/projects/neuro-variants/variant_position/credible/roussos_2024/variant_figures/roussos_2024.childhood.GLU/rs113506287_count_position.png",4,220,900)</f>
        <v/>
      </c>
      <c r="T2142">
        <f>IMAGE("https://mitra.stanford.edu/kundaje/oak/projects/neuro-variants/variant_position/credible/roussos_2024/variant_figures/roussos_2024.childhood.GLU/rs113506287_profile_position.png",4,220,900)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-0.006433435812</v>
      </c>
      <c r="G2143" t="n">
        <v>0.7870201277215478</v>
      </c>
      <c r="H2143" t="n">
        <v>0.0262149551046705</v>
      </c>
      <c r="I2143" t="n">
        <v>0.0372861202565692</v>
      </c>
      <c r="J2143" t="n">
        <v>0.0110088907661717</v>
      </c>
      <c r="K2143" t="n">
        <v>0.5777673761165611</v>
      </c>
      <c r="L2143" t="b">
        <v>0</v>
      </c>
      <c r="M2143" t="b">
        <v>0</v>
      </c>
      <c r="N2143" t="inlineStr">
        <is>
          <t>ref</t>
        </is>
      </c>
      <c r="O2143" t="n">
        <v>-100</v>
      </c>
      <c r="P2143" t="n">
        <v>0.0659</v>
      </c>
      <c r="Q2143" t="n">
        <v>-35</v>
      </c>
      <c r="R2143" t="n">
        <v>0.1445</v>
      </c>
      <c r="S2143">
        <f>IMAGE("https://mitra.stanford.edu/kundaje/oak/projects/neuro-variants/variant_position/credible/roussos_2024/variant_figures/roussos_2024.childhood.GLU/rs79064653_count_position.png",4,220,900)</f>
        <v/>
      </c>
      <c r="T2143">
        <f>IMAGE("https://mitra.stanford.edu/kundaje/oak/projects/neuro-variants/variant_position/credible/roussos_2024/variant_figures/roussos_2024.childhood.GLU/rs79064653_profile_position.png",4,220,900)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-0.0151861273</v>
      </c>
      <c r="G2144" t="n">
        <v>0.5507397057097735</v>
      </c>
      <c r="H2144" t="n">
        <v>0.0243963671000225</v>
      </c>
      <c r="I2144" t="n">
        <v>0.0489492897884314</v>
      </c>
      <c r="J2144" t="n">
        <v>0.0104350603191609</v>
      </c>
      <c r="K2144" t="n">
        <v>0.5788577187845798</v>
      </c>
      <c r="L2144" t="b">
        <v>0</v>
      </c>
      <c r="M2144" t="b">
        <v>0</v>
      </c>
      <c r="N2144" t="inlineStr">
        <is>
          <t>ref</t>
        </is>
      </c>
      <c r="O2144" t="n">
        <v>-30</v>
      </c>
      <c r="P2144" t="n">
        <v>0.00757</v>
      </c>
      <c r="Q2144" t="n">
        <v>-90</v>
      </c>
      <c r="R2144" t="n">
        <v>0.07666000000000001</v>
      </c>
      <c r="S2144">
        <f>IMAGE("https://mitra.stanford.edu/kundaje/oak/projects/neuro-variants/variant_position/credible/roussos_2024/variant_figures/roussos_2024.childhood.GLU/rs79588315_count_position.png",4,220,900)</f>
        <v/>
      </c>
      <c r="T2144">
        <f>IMAGE("https://mitra.stanford.edu/kundaje/oak/projects/neuro-variants/variant_position/credible/roussos_2024/variant_figures/roussos_2024.childhood.GLU/rs79588315_profile_position.png",4,220,900)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-0.0729625416</v>
      </c>
      <c r="G2145" t="n">
        <v>0.0878483824453145</v>
      </c>
      <c r="H2145" t="n">
        <v>0.0137157900275391</v>
      </c>
      <c r="I2145" t="n">
        <v>0.3200980586670471</v>
      </c>
      <c r="J2145" t="n">
        <v>0.0076369930048316</v>
      </c>
      <c r="K2145" t="n">
        <v>0.6281186322451049</v>
      </c>
      <c r="L2145" t="b">
        <v>0</v>
      </c>
      <c r="M2145" t="b">
        <v>0</v>
      </c>
      <c r="N2145" t="inlineStr">
        <is>
          <t>ref</t>
        </is>
      </c>
      <c r="O2145" t="n">
        <v>95</v>
      </c>
      <c r="P2145" t="n">
        <v>0.006607</v>
      </c>
      <c r="Q2145" t="n">
        <v>-15</v>
      </c>
      <c r="R2145" t="n">
        <v>0.005737</v>
      </c>
      <c r="S2145">
        <f>IMAGE("https://mitra.stanford.edu/kundaje/oak/projects/neuro-variants/variant_position/credible/roussos_2024/variant_figures/roussos_2024.childhood.GLU/rs80099621_count_position.png",4,220,900)</f>
        <v/>
      </c>
      <c r="T2145">
        <f>IMAGE("https://mitra.stanford.edu/kundaje/oak/projects/neuro-variants/variant_position/credible/roussos_2024/variant_figures/roussos_2024.childhood.GLU/rs80099621_profile_position.png",4,220,900)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0.0532683842</v>
      </c>
      <c r="G2146" t="n">
        <v>0.1545825167336668</v>
      </c>
      <c r="H2146" t="n">
        <v>0.0182274672158186</v>
      </c>
      <c r="I2146" t="n">
        <v>0.1324472343279319</v>
      </c>
      <c r="J2146" t="n">
        <v>0.1743383436183254</v>
      </c>
      <c r="K2146" t="n">
        <v>0.1750934360904907</v>
      </c>
      <c r="L2146" t="b">
        <v>0</v>
      </c>
      <c r="M2146" t="b">
        <v>0</v>
      </c>
      <c r="N2146" t="inlineStr">
        <is>
          <t>alt</t>
        </is>
      </c>
      <c r="O2146" t="n">
        <v>70</v>
      </c>
      <c r="P2146" t="n">
        <v>0.007267</v>
      </c>
      <c r="Q2146" t="n">
        <v>75</v>
      </c>
      <c r="R2146" t="n">
        <v>0.08813</v>
      </c>
      <c r="S2146">
        <f>IMAGE("https://mitra.stanford.edu/kundaje/oak/projects/neuro-variants/variant_position/credible/roussos_2024/variant_figures/roussos_2024.childhood.GLU/rs112144830_count_position.png",4,220,900)</f>
        <v/>
      </c>
      <c r="T2146">
        <f>IMAGE("https://mitra.stanford.edu/kundaje/oak/projects/neuro-variants/variant_position/credible/roussos_2024/variant_figures/roussos_2024.childhood.GLU/rs112144830_profile_position.png",4,220,900)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-0.109135202</v>
      </c>
      <c r="G2147" t="n">
        <v>0.0366107782717257</v>
      </c>
      <c r="H2147" t="n">
        <v>0.0126502656335558</v>
      </c>
      <c r="I2147" t="n">
        <v>0.3945437356332233</v>
      </c>
      <c r="J2147" t="n">
        <v>0.1058629606354373</v>
      </c>
      <c r="K2147" t="n">
        <v>0.2415259915468149</v>
      </c>
      <c r="L2147" t="b">
        <v>0</v>
      </c>
      <c r="M2147" t="b">
        <v>0</v>
      </c>
      <c r="N2147" t="inlineStr">
        <is>
          <t>ref</t>
        </is>
      </c>
      <c r="O2147" t="n">
        <v>100</v>
      </c>
      <c r="P2147" t="n">
        <v>0.001427</v>
      </c>
      <c r="Q2147" t="n">
        <v>-85</v>
      </c>
      <c r="R2147" t="n">
        <v>0.02118</v>
      </c>
      <c r="S2147">
        <f>IMAGE("https://mitra.stanford.edu/kundaje/oak/projects/neuro-variants/variant_position/credible/roussos_2024/variant_figures/roussos_2024.childhood.GLU/rs184071680_count_position.png",4,220,900)</f>
        <v/>
      </c>
      <c r="T2147">
        <f>IMAGE("https://mitra.stanford.edu/kundaje/oak/projects/neuro-variants/variant_position/credible/roussos_2024/variant_figures/roussos_2024.childhood.GLU/rs184071680_profile_position.png",4,220,900)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0.09364895099999999</v>
      </c>
      <c r="G2148" t="n">
        <v>0.0508009942338193</v>
      </c>
      <c r="H2148" t="n">
        <v>0.027697900404356</v>
      </c>
      <c r="I2148" t="n">
        <v>0.0309233807147238</v>
      </c>
      <c r="J2148" t="n">
        <v>0.06896164504929581</v>
      </c>
      <c r="K2148" t="n">
        <v>0.3049207550450121</v>
      </c>
      <c r="L2148" t="b">
        <v>0</v>
      </c>
      <c r="M2148" t="b">
        <v>0</v>
      </c>
      <c r="N2148" t="inlineStr">
        <is>
          <t>alt</t>
        </is>
      </c>
      <c r="O2148" t="n">
        <v>35</v>
      </c>
      <c r="P2148" t="n">
        <v>0.00859</v>
      </c>
      <c r="Q2148" t="n">
        <v>35</v>
      </c>
      <c r="R2148" t="n">
        <v>0.0645</v>
      </c>
      <c r="S2148">
        <f>IMAGE("https://mitra.stanford.edu/kundaje/oak/projects/neuro-variants/variant_position/credible/roussos_2024/variant_figures/roussos_2024.childhood.GLU/rs10199158_count_position.png",4,220,900)</f>
        <v/>
      </c>
      <c r="T2148">
        <f>IMAGE("https://mitra.stanford.edu/kundaje/oak/projects/neuro-variants/variant_position/credible/roussos_2024/variant_figures/roussos_2024.childhood.GLU/rs10199158_profile_position.png",4,220,900)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0.0043683347119999</v>
      </c>
      <c r="G2149" t="n">
        <v>0.7008837093809037</v>
      </c>
      <c r="H2149" t="n">
        <v>0.0393019913944917</v>
      </c>
      <c r="I2149" t="n">
        <v>0.0071930641541752</v>
      </c>
      <c r="J2149" t="n">
        <v>0.0363058505980405</v>
      </c>
      <c r="K2149" t="n">
        <v>0.4008662601491939</v>
      </c>
      <c r="L2149" t="b">
        <v>1</v>
      </c>
      <c r="M2149" t="b">
        <v>0</v>
      </c>
      <c r="N2149" t="inlineStr">
        <is>
          <t>alt</t>
        </is>
      </c>
      <c r="O2149" t="n">
        <v>35</v>
      </c>
      <c r="P2149" t="n">
        <v>0.004272</v>
      </c>
      <c r="Q2149" t="n">
        <v>85</v>
      </c>
      <c r="R2149" t="n">
        <v>0.06128</v>
      </c>
      <c r="S2149">
        <f>IMAGE("https://mitra.stanford.edu/kundaje/oak/projects/neuro-variants/variant_position/credible/roussos_2024/variant_figures/roussos_2024.childhood.GLU/rs11691553_count_position.png",4,220,900)</f>
        <v/>
      </c>
      <c r="T2149">
        <f>IMAGE("https://mitra.stanford.edu/kundaje/oak/projects/neuro-variants/variant_position/credible/roussos_2024/variant_figures/roussos_2024.childhood.GLU/rs11691553_profile_position.png",4,220,900)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-0.02390565296</v>
      </c>
      <c r="G2150" t="n">
        <v>0.429344498131252</v>
      </c>
      <c r="H2150" t="n">
        <v>0.0139937638760907</v>
      </c>
      <c r="I2150" t="n">
        <v>0.300351062369847</v>
      </c>
      <c r="J2150" t="n">
        <v>0.0940597731463834</v>
      </c>
      <c r="K2150" t="n">
        <v>0.2620861363476453</v>
      </c>
      <c r="L2150" t="b">
        <v>0</v>
      </c>
      <c r="M2150" t="b">
        <v>0</v>
      </c>
      <c r="N2150" t="inlineStr">
        <is>
          <t>ref</t>
        </is>
      </c>
      <c r="O2150" t="n">
        <v>5</v>
      </c>
      <c r="P2150" t="n">
        <v>0.001862</v>
      </c>
      <c r="Q2150" t="n">
        <v>-95</v>
      </c>
      <c r="R2150" t="n">
        <v>0.106</v>
      </c>
      <c r="S2150">
        <f>IMAGE("https://mitra.stanford.edu/kundaje/oak/projects/neuro-variants/variant_position/credible/roussos_2024/variant_figures/roussos_2024.childhood.GLU/rs13415334_count_position.png",4,220,900)</f>
        <v/>
      </c>
      <c r="T2150">
        <f>IMAGE("https://mitra.stanford.edu/kundaje/oak/projects/neuro-variants/variant_position/credible/roussos_2024/variant_figures/roussos_2024.childhood.GLU/rs13415334_profile_position.png",4,220,900)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-0.016809240991</v>
      </c>
      <c r="G2151" t="n">
        <v>0.5394374143135178</v>
      </c>
      <c r="H2151" t="n">
        <v>0.0176582404376556</v>
      </c>
      <c r="I2151" t="n">
        <v>0.149758427390905</v>
      </c>
      <c r="J2151" t="n">
        <v>0.4842552051675646</v>
      </c>
      <c r="K2151" t="n">
        <v>0.0456820411129683</v>
      </c>
      <c r="L2151" t="b">
        <v>0</v>
      </c>
      <c r="M2151" t="b">
        <v>0</v>
      </c>
      <c r="N2151" t="inlineStr">
        <is>
          <t>ref</t>
        </is>
      </c>
      <c r="O2151" t="n">
        <v>100</v>
      </c>
      <c r="P2151" t="n">
        <v>0.007584</v>
      </c>
      <c r="Q2151" t="n">
        <v>100</v>
      </c>
      <c r="R2151" t="n">
        <v>0.3325</v>
      </c>
      <c r="S2151">
        <f>IMAGE("https://mitra.stanford.edu/kundaje/oak/projects/neuro-variants/variant_position/credible/roussos_2024/variant_figures/roussos_2024.childhood.GLU/rs974135_count_position.png",4,220,900)</f>
        <v/>
      </c>
      <c r="T2151">
        <f>IMAGE("https://mitra.stanford.edu/kundaje/oak/projects/neuro-variants/variant_position/credible/roussos_2024/variant_figures/roussos_2024.childhood.GLU/rs974135_profile_position.png",4,220,900)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-0.0143035615599999</v>
      </c>
      <c r="G2152" t="n">
        <v>0.5438740675400965</v>
      </c>
      <c r="H2152" t="n">
        <v>0.0186026929772658</v>
      </c>
      <c r="I2152" t="n">
        <v>0.1345681966386337</v>
      </c>
      <c r="J2152" t="n">
        <v>0.0051758064017636</v>
      </c>
      <c r="K2152" t="n">
        <v>0.6745533696344236</v>
      </c>
      <c r="L2152" t="b">
        <v>0</v>
      </c>
      <c r="M2152" t="b">
        <v>0</v>
      </c>
      <c r="N2152" t="inlineStr">
        <is>
          <t>ref</t>
        </is>
      </c>
      <c r="O2152" t="n">
        <v>100</v>
      </c>
      <c r="P2152" t="n">
        <v>0.003845</v>
      </c>
      <c r="Q2152" t="n">
        <v>-100</v>
      </c>
      <c r="R2152" t="n">
        <v>0.09520000000000001</v>
      </c>
      <c r="S2152">
        <f>IMAGE("https://mitra.stanford.edu/kundaje/oak/projects/neuro-variants/variant_position/credible/roussos_2024/variant_figures/roussos_2024.childhood.GLU/rs12621957_count_position.png",4,220,900)</f>
        <v/>
      </c>
      <c r="T2152">
        <f>IMAGE("https://mitra.stanford.edu/kundaje/oak/projects/neuro-variants/variant_position/credible/roussos_2024/variant_figures/roussos_2024.childhood.GLU/rs12621957_profile_position.png",4,220,900)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-0.0436597154</v>
      </c>
      <c r="G2153" t="n">
        <v>0.2253317138202185</v>
      </c>
      <c r="H2153" t="n">
        <v>0.0315424980695004</v>
      </c>
      <c r="I2153" t="n">
        <v>0.0171442016568404</v>
      </c>
      <c r="J2153" t="n">
        <v>0.1170634716226935</v>
      </c>
      <c r="K2153" t="n">
        <v>0.2275772971562113</v>
      </c>
      <c r="L2153" t="b">
        <v>1</v>
      </c>
      <c r="M2153" t="b">
        <v>0</v>
      </c>
      <c r="N2153" t="inlineStr">
        <is>
          <t>ref</t>
        </is>
      </c>
      <c r="O2153" t="n">
        <v>-50</v>
      </c>
      <c r="P2153" t="n">
        <v>0.009514</v>
      </c>
      <c r="Q2153" t="n">
        <v>65</v>
      </c>
      <c r="R2153" t="n">
        <v>0.12463</v>
      </c>
      <c r="S2153">
        <f>IMAGE("https://mitra.stanford.edu/kundaje/oak/projects/neuro-variants/variant_position/credible/roussos_2024/variant_figures/roussos_2024.childhood.GLU/rs17028290_count_position.png",4,220,900)</f>
        <v/>
      </c>
      <c r="T2153">
        <f>IMAGE("https://mitra.stanford.edu/kundaje/oak/projects/neuro-variants/variant_position/credible/roussos_2024/variant_figures/roussos_2024.childhood.GLU/rs17028290_profile_position.png",4,220,900)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0.0781454172</v>
      </c>
      <c r="G2154" t="n">
        <v>0.0884217597323505</v>
      </c>
      <c r="H2154" t="n">
        <v>0.013179688607163</v>
      </c>
      <c r="I2154" t="n">
        <v>0.347880335299886</v>
      </c>
      <c r="J2154" t="n">
        <v>0.2751954835319933</v>
      </c>
      <c r="K2154" t="n">
        <v>0.1071790776944534</v>
      </c>
      <c r="L2154" t="b">
        <v>0</v>
      </c>
      <c r="M2154" t="b">
        <v>0</v>
      </c>
      <c r="N2154" t="inlineStr">
        <is>
          <t>alt</t>
        </is>
      </c>
      <c r="O2154" t="n">
        <v>85</v>
      </c>
      <c r="P2154" t="n">
        <v>0.03662</v>
      </c>
      <c r="Q2154" t="n">
        <v>85</v>
      </c>
      <c r="R2154" t="n">
        <v>0.1655</v>
      </c>
      <c r="S2154">
        <f>IMAGE("https://mitra.stanford.edu/kundaje/oak/projects/neuro-variants/variant_position/credible/roussos_2024/variant_figures/roussos_2024.childhood.GLU/rs58469620_count_position.png",4,220,900)</f>
        <v/>
      </c>
      <c r="T2154">
        <f>IMAGE("https://mitra.stanford.edu/kundaje/oak/projects/neuro-variants/variant_position/credible/roussos_2024/variant_figures/roussos_2024.childhood.GLU/rs58469620_profile_position.png",4,220,900)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-0.1415647636</v>
      </c>
      <c r="G2155" t="n">
        <v>0.0218738901270996</v>
      </c>
      <c r="H2155" t="n">
        <v>0.0245007194455495</v>
      </c>
      <c r="I2155" t="n">
        <v>0.0500707943686863</v>
      </c>
      <c r="J2155" t="n">
        <v>0.203930274964715</v>
      </c>
      <c r="K2155" t="n">
        <v>0.1484536180985288</v>
      </c>
      <c r="L2155" t="b">
        <v>0</v>
      </c>
      <c r="M2155" t="b">
        <v>0</v>
      </c>
      <c r="N2155" t="inlineStr">
        <is>
          <t>ref</t>
        </is>
      </c>
      <c r="O2155" t="n">
        <v>50</v>
      </c>
      <c r="P2155" t="n">
        <v>0.003227</v>
      </c>
      <c r="Q2155" t="n">
        <v>-100</v>
      </c>
      <c r="R2155" t="n">
        <v>0.3013</v>
      </c>
      <c r="S2155">
        <f>IMAGE("https://mitra.stanford.edu/kundaje/oak/projects/neuro-variants/variant_position/credible/roussos_2024/variant_figures/roussos_2024.childhood.GLU/rs7599488_count_position.png",4,220,900)</f>
        <v/>
      </c>
      <c r="T2155">
        <f>IMAGE("https://mitra.stanford.edu/kundaje/oak/projects/neuro-variants/variant_position/credible/roussos_2024/variant_figures/roussos_2024.childhood.GLU/rs7599488_profile_position.png",4,220,900)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0.00436424944</v>
      </c>
      <c r="G2156" t="n">
        <v>0.7821291535681556</v>
      </c>
      <c r="H2156" t="n">
        <v>0.0237625547617505</v>
      </c>
      <c r="I2156" t="n">
        <v>0.0540034371385444</v>
      </c>
      <c r="J2156" t="n">
        <v>0.0362440376234971</v>
      </c>
      <c r="K2156" t="n">
        <v>0.4017309215525223</v>
      </c>
      <c r="L2156" t="b">
        <v>0</v>
      </c>
      <c r="M2156" t="b">
        <v>0</v>
      </c>
      <c r="N2156" t="inlineStr">
        <is>
          <t>alt</t>
        </is>
      </c>
      <c r="O2156" t="n">
        <v>-100</v>
      </c>
      <c r="P2156" t="n">
        <v>0.002453</v>
      </c>
      <c r="Q2156" t="n">
        <v>75</v>
      </c>
      <c r="R2156" t="n">
        <v>0.05887</v>
      </c>
      <c r="S2156">
        <f>IMAGE("https://mitra.stanford.edu/kundaje/oak/projects/neuro-variants/variant_position/credible/roussos_2024/variant_figures/roussos_2024.childhood.GLU/rs766432_count_position.png",4,220,900)</f>
        <v/>
      </c>
      <c r="T2156">
        <f>IMAGE("https://mitra.stanford.edu/kundaje/oak/projects/neuro-variants/variant_position/credible/roussos_2024/variant_figures/roussos_2024.childhood.GLU/rs766432_profile_position.png",4,220,900)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0.0813850208</v>
      </c>
      <c r="G2157" t="n">
        <v>0.07203190050776261</v>
      </c>
      <c r="H2157" t="n">
        <v>0.0144197877732856</v>
      </c>
      <c r="I2157" t="n">
        <v>0.2797268857376415</v>
      </c>
      <c r="J2157" t="n">
        <v>0.0060123419905837</v>
      </c>
      <c r="K2157" t="n">
        <v>0.678570970927194</v>
      </c>
      <c r="L2157" t="b">
        <v>0</v>
      </c>
      <c r="M2157" t="b">
        <v>0</v>
      </c>
      <c r="N2157" t="inlineStr">
        <is>
          <t>alt</t>
        </is>
      </c>
      <c r="O2157" t="n">
        <v>65</v>
      </c>
      <c r="P2157" t="n">
        <v>0.002792</v>
      </c>
      <c r="Q2157" t="n">
        <v>95</v>
      </c>
      <c r="R2157" t="n">
        <v>0.0848</v>
      </c>
      <c r="S2157">
        <f>IMAGE("https://mitra.stanford.edu/kundaje/oak/projects/neuro-variants/variant_position/credible/roussos_2024/variant_figures/roussos_2024.childhood.GLU/rs12328348_count_position.png",4,220,900)</f>
        <v/>
      </c>
      <c r="T2157">
        <f>IMAGE("https://mitra.stanford.edu/kundaje/oak/projects/neuro-variants/variant_position/credible/roussos_2024/variant_figures/roussos_2024.childhood.GLU/rs12328348_profile_position.png",4,220,900)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-0.024237249</v>
      </c>
      <c r="G2158" t="n">
        <v>0.4123901299369553</v>
      </c>
      <c r="H2158" t="n">
        <v>0.009185492117096</v>
      </c>
      <c r="I2158" t="n">
        <v>0.735504601889747</v>
      </c>
      <c r="J2158" t="n">
        <v>0.1726889674142602</v>
      </c>
      <c r="K2158" t="n">
        <v>0.1676971685996911</v>
      </c>
      <c r="L2158" t="b">
        <v>0</v>
      </c>
      <c r="M2158" t="b">
        <v>0</v>
      </c>
      <c r="N2158" t="inlineStr">
        <is>
          <t>ref</t>
        </is>
      </c>
      <c r="O2158" t="n">
        <v>-100</v>
      </c>
      <c r="P2158" t="n">
        <v>0.003313</v>
      </c>
      <c r="Q2158" t="n">
        <v>80</v>
      </c>
      <c r="R2158" t="n">
        <v>0.08484</v>
      </c>
      <c r="S2158">
        <f>IMAGE("https://mitra.stanford.edu/kundaje/oak/projects/neuro-variants/variant_position/credible/roussos_2024/variant_figures/roussos_2024.childhood.GLU/rs356998_count_position.png",4,220,900)</f>
        <v/>
      </c>
      <c r="T2158">
        <f>IMAGE("https://mitra.stanford.edu/kundaje/oak/projects/neuro-variants/variant_position/credible/roussos_2024/variant_figures/roussos_2024.childhood.GLU/rs356998_profile_position.png",4,220,900)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-0.13903552</v>
      </c>
      <c r="G2159" t="n">
        <v>0.0226650617685272</v>
      </c>
      <c r="H2159" t="n">
        <v>0.0321114100795435</v>
      </c>
      <c r="I2159" t="n">
        <v>0.0169883483339711</v>
      </c>
      <c r="J2159" t="n">
        <v>0.0837019790454015</v>
      </c>
      <c r="K2159" t="n">
        <v>0.2759529788300859</v>
      </c>
      <c r="L2159" t="b">
        <v>1</v>
      </c>
      <c r="M2159" t="b">
        <v>0</v>
      </c>
      <c r="N2159" t="inlineStr">
        <is>
          <t>ref</t>
        </is>
      </c>
      <c r="O2159" t="n">
        <v>-95</v>
      </c>
      <c r="P2159" t="n">
        <v>0.02156</v>
      </c>
      <c r="Q2159" t="n">
        <v>40</v>
      </c>
      <c r="R2159" t="n">
        <v>0.06900000000000001</v>
      </c>
      <c r="S2159">
        <f>IMAGE("https://mitra.stanford.edu/kundaje/oak/projects/neuro-variants/variant_position/credible/roussos_2024/variant_figures/roussos_2024.childhood.GLU/rs55710238_count_position.png",4,220,900)</f>
        <v/>
      </c>
      <c r="T2159">
        <f>IMAGE("https://mitra.stanford.edu/kundaje/oak/projects/neuro-variants/variant_position/credible/roussos_2024/variant_figures/roussos_2024.childhood.GLU/rs55710238_profile_position.png",4,220,900)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0.0918990559999999</v>
      </c>
      <c r="G2160" t="n">
        <v>0.0663728629646053</v>
      </c>
      <c r="H2160" t="n">
        <v>0.0219711955730949</v>
      </c>
      <c r="I2160" t="n">
        <v>0.0762817648907205</v>
      </c>
      <c r="J2160" t="n">
        <v>0.1564857263539616</v>
      </c>
      <c r="K2160" t="n">
        <v>0.1833693402884766</v>
      </c>
      <c r="L2160" t="b">
        <v>0</v>
      </c>
      <c r="M2160" t="b">
        <v>0</v>
      </c>
      <c r="N2160" t="inlineStr">
        <is>
          <t>alt</t>
        </is>
      </c>
      <c r="O2160" t="n">
        <v>-100</v>
      </c>
      <c r="P2160" t="n">
        <v>0.0153</v>
      </c>
      <c r="Q2160" t="n">
        <v>85</v>
      </c>
      <c r="R2160" t="n">
        <v>0.073</v>
      </c>
      <c r="S2160">
        <f>IMAGE("https://mitra.stanford.edu/kundaje/oak/projects/neuro-variants/variant_position/credible/roussos_2024/variant_figures/roussos_2024.childhood.GLU/rs34419497_count_position.png",4,220,900)</f>
        <v/>
      </c>
      <c r="T2160">
        <f>IMAGE("https://mitra.stanford.edu/kundaje/oak/projects/neuro-variants/variant_position/credible/roussos_2024/variant_figures/roussos_2024.childhood.GLU/rs34419497_profile_position.png",4,220,900)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0.00512279968</v>
      </c>
      <c r="G2161" t="n">
        <v>0.5932617866226918</v>
      </c>
      <c r="H2161" t="n">
        <v>0.0231216403684972</v>
      </c>
      <c r="I2161" t="n">
        <v>0.057731154017722</v>
      </c>
      <c r="J2161" t="n">
        <v>0.0004296001730762</v>
      </c>
      <c r="K2161" t="n">
        <v>0.8771988060459217</v>
      </c>
      <c r="L2161" t="b">
        <v>0</v>
      </c>
      <c r="M2161" t="b">
        <v>0</v>
      </c>
      <c r="N2161" t="inlineStr">
        <is>
          <t>alt</t>
        </is>
      </c>
      <c r="O2161" t="n">
        <v>70</v>
      </c>
      <c r="P2161" t="n">
        <v>0.005714</v>
      </c>
      <c r="Q2161" t="n">
        <v>-100</v>
      </c>
      <c r="R2161" t="n">
        <v>0.1588</v>
      </c>
      <c r="S2161">
        <f>IMAGE("https://mitra.stanford.edu/kundaje/oak/projects/neuro-variants/variant_position/credible/roussos_2024/variant_figures/roussos_2024.childhood.GLU/rs1430346_count_position.png",4,220,900)</f>
        <v/>
      </c>
      <c r="T2161">
        <f>IMAGE("https://mitra.stanford.edu/kundaje/oak/projects/neuro-variants/variant_position/credible/roussos_2024/variant_figures/roussos_2024.childhood.GLU/rs1430346_profile_position.png",4,220,900)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-0.0394001526</v>
      </c>
      <c r="G2162" t="n">
        <v>0.2577453195704218</v>
      </c>
      <c r="H2162" t="n">
        <v>0.017606267276516</v>
      </c>
      <c r="I2162" t="n">
        <v>0.150406080897315</v>
      </c>
      <c r="J2162" t="n">
        <v>0.044786590705389</v>
      </c>
      <c r="K2162" t="n">
        <v>0.3684628349029804</v>
      </c>
      <c r="L2162" t="b">
        <v>0</v>
      </c>
      <c r="M2162" t="b">
        <v>0</v>
      </c>
      <c r="N2162" t="inlineStr">
        <is>
          <t>ref</t>
        </is>
      </c>
      <c r="O2162" t="n">
        <v>100</v>
      </c>
      <c r="P2162" t="n">
        <v>0.01535</v>
      </c>
      <c r="Q2162" t="n">
        <v>-75</v>
      </c>
      <c r="R2162" t="n">
        <v>0.0678</v>
      </c>
      <c r="S2162">
        <f>IMAGE("https://mitra.stanford.edu/kundaje/oak/projects/neuro-variants/variant_position/credible/roussos_2024/variant_figures/roussos_2024.childhood.GLU/rs60796597_count_position.png",4,220,900)</f>
        <v/>
      </c>
      <c r="T2162">
        <f>IMAGE("https://mitra.stanford.edu/kundaje/oak/projects/neuro-variants/variant_position/credible/roussos_2024/variant_figures/roussos_2024.childhood.GLU/rs60796597_profile_position.png",4,220,900)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-0.0664559458</v>
      </c>
      <c r="G2163" t="n">
        <v>0.1109013917058312</v>
      </c>
      <c r="H2163" t="n">
        <v>0.0110097097138171</v>
      </c>
      <c r="I2163" t="n">
        <v>0.5276616291292794</v>
      </c>
      <c r="J2163" t="n">
        <v>0.1383559809203952</v>
      </c>
      <c r="K2163" t="n">
        <v>0.2044431836583569</v>
      </c>
      <c r="L2163" t="b">
        <v>0</v>
      </c>
      <c r="M2163" t="b">
        <v>0</v>
      </c>
      <c r="N2163" t="inlineStr">
        <is>
          <t>ref</t>
        </is>
      </c>
      <c r="O2163" t="n">
        <v>-100</v>
      </c>
      <c r="P2163" t="n">
        <v>0.02415</v>
      </c>
      <c r="Q2163" t="n">
        <v>-100</v>
      </c>
      <c r="R2163" t="n">
        <v>0.2396</v>
      </c>
      <c r="S2163">
        <f>IMAGE("https://mitra.stanford.edu/kundaje/oak/projects/neuro-variants/variant_position/credible/roussos_2024/variant_figures/roussos_2024.childhood.GLU/rs7604588_count_position.png",4,220,900)</f>
        <v/>
      </c>
      <c r="T2163">
        <f>IMAGE("https://mitra.stanford.edu/kundaje/oak/projects/neuro-variants/variant_position/credible/roussos_2024/variant_figures/roussos_2024.childhood.GLU/rs7604588_profile_position.png",4,220,900)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-0.0401886248</v>
      </c>
      <c r="G2164" t="n">
        <v>0.2459296510907619</v>
      </c>
      <c r="H2164" t="n">
        <v>0.0192412647669752</v>
      </c>
      <c r="I2164" t="n">
        <v>0.1119695216462463</v>
      </c>
      <c r="J2164" t="n">
        <v>0.0469881628153749</v>
      </c>
      <c r="K2164" t="n">
        <v>0.3677164479045686</v>
      </c>
      <c r="L2164" t="b">
        <v>0</v>
      </c>
      <c r="M2164" t="b">
        <v>0</v>
      </c>
      <c r="N2164" t="inlineStr">
        <is>
          <t>ref</t>
        </is>
      </c>
      <c r="O2164" t="n">
        <v>-95</v>
      </c>
      <c r="P2164" t="n">
        <v>0.011536</v>
      </c>
      <c r="Q2164" t="n">
        <v>-100</v>
      </c>
      <c r="R2164" t="n">
        <v>0.2141</v>
      </c>
      <c r="S2164">
        <f>IMAGE("https://mitra.stanford.edu/kundaje/oak/projects/neuro-variants/variant_position/credible/roussos_2024/variant_figures/roussos_2024.childhood.GLU/rs6546822_count_position.png",4,220,900)</f>
        <v/>
      </c>
      <c r="T2164">
        <f>IMAGE("https://mitra.stanford.edu/kundaje/oak/projects/neuro-variants/variant_position/credible/roussos_2024/variant_figures/roussos_2024.childhood.GLU/rs6546822_profile_position.png",4,220,900)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-0.0278341179</v>
      </c>
      <c r="G2165" t="n">
        <v>0.3560705356117408</v>
      </c>
      <c r="H2165" t="n">
        <v>0.0121481361123677</v>
      </c>
      <c r="I2165" t="n">
        <v>0.4386494644446984</v>
      </c>
      <c r="J2165" t="n">
        <v>0.0267145373813963</v>
      </c>
      <c r="K2165" t="n">
        <v>0.4506671372173718</v>
      </c>
      <c r="L2165" t="b">
        <v>0</v>
      </c>
      <c r="M2165" t="b">
        <v>0</v>
      </c>
      <c r="N2165" t="inlineStr">
        <is>
          <t>ref</t>
        </is>
      </c>
      <c r="O2165" t="n">
        <v>-30</v>
      </c>
      <c r="P2165" t="n">
        <v>0.001801</v>
      </c>
      <c r="Q2165" t="n">
        <v>20</v>
      </c>
      <c r="R2165" t="n">
        <v>0.009766</v>
      </c>
      <c r="S2165">
        <f>IMAGE("https://mitra.stanford.edu/kundaje/oak/projects/neuro-variants/variant_position/credible/roussos_2024/variant_figures/roussos_2024.childhood.GLU/rs1522926_count_position.png",4,220,900)</f>
        <v/>
      </c>
      <c r="T2165">
        <f>IMAGE("https://mitra.stanford.edu/kundaje/oak/projects/neuro-variants/variant_position/credible/roussos_2024/variant_figures/roussos_2024.childhood.GLU/rs1522926_profile_position.png",4,220,900)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-0.0016786667999999</v>
      </c>
      <c r="G2166" t="n">
        <v>0.320586524540485</v>
      </c>
      <c r="H2166" t="n">
        <v>0.021929595260854</v>
      </c>
      <c r="I2166" t="n">
        <v>0.0862477089186835</v>
      </c>
      <c r="J2166" t="n">
        <v>0.0517003719080634</v>
      </c>
      <c r="K2166" t="n">
        <v>0.3483206625379995</v>
      </c>
      <c r="L2166" t="b">
        <v>0</v>
      </c>
      <c r="M2166" t="b">
        <v>0</v>
      </c>
      <c r="N2166" t="inlineStr">
        <is>
          <t>ref</t>
        </is>
      </c>
      <c r="O2166" t="n">
        <v>-100</v>
      </c>
      <c r="P2166" t="n">
        <v>0.00432</v>
      </c>
      <c r="Q2166" t="n">
        <v>90</v>
      </c>
      <c r="R2166" t="n">
        <v>0.076</v>
      </c>
      <c r="S2166">
        <f>IMAGE("https://mitra.stanford.edu/kundaje/oak/projects/neuro-variants/variant_position/credible/roussos_2024/variant_figures/roussos_2024.childhood.GLU/rs6546827_count_position.png",4,220,900)</f>
        <v/>
      </c>
      <c r="T2166">
        <f>IMAGE("https://mitra.stanford.edu/kundaje/oak/projects/neuro-variants/variant_position/credible/roussos_2024/variant_figures/roussos_2024.childhood.GLU/rs6546827_profile_position.png",4,220,900)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-0.0179074128</v>
      </c>
      <c r="G2167" t="n">
        <v>0.4875214281856927</v>
      </c>
      <c r="H2167" t="n">
        <v>0.0204096266171351</v>
      </c>
      <c r="I2167" t="n">
        <v>0.0914349394434565</v>
      </c>
      <c r="J2167" t="n">
        <v>0.001087908351963</v>
      </c>
      <c r="K2167" t="n">
        <v>0.8143453986001679</v>
      </c>
      <c r="L2167" t="b">
        <v>0</v>
      </c>
      <c r="M2167" t="b">
        <v>0</v>
      </c>
      <c r="N2167" t="inlineStr">
        <is>
          <t>ref</t>
        </is>
      </c>
      <c r="O2167" t="n">
        <v>-10</v>
      </c>
      <c r="P2167" t="n">
        <v>0.001358</v>
      </c>
      <c r="Q2167" t="n">
        <v>-100</v>
      </c>
      <c r="R2167" t="n">
        <v>0.05408</v>
      </c>
      <c r="S2167">
        <f>IMAGE("https://mitra.stanford.edu/kundaje/oak/projects/neuro-variants/variant_position/credible/roussos_2024/variant_figures/roussos_2024.childhood.GLU/rs56672945_count_position.png",4,220,900)</f>
        <v/>
      </c>
      <c r="T2167">
        <f>IMAGE("https://mitra.stanford.edu/kundaje/oak/projects/neuro-variants/variant_position/credible/roussos_2024/variant_figures/roussos_2024.childhood.GLU/rs56672945_profile_position.png",4,220,900)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-0.01051284894</v>
      </c>
      <c r="G2168" t="n">
        <v>0.6561068956662219</v>
      </c>
      <c r="H2168" t="n">
        <v>0.0242121131900562</v>
      </c>
      <c r="I2168" t="n">
        <v>0.0490654712521433</v>
      </c>
      <c r="J2168" t="n">
        <v>0.0017163402598204</v>
      </c>
      <c r="K2168" t="n">
        <v>0.7777302649999058</v>
      </c>
      <c r="L2168" t="b">
        <v>0</v>
      </c>
      <c r="M2168" t="b">
        <v>0</v>
      </c>
      <c r="N2168" t="inlineStr">
        <is>
          <t>ref</t>
        </is>
      </c>
      <c r="O2168" t="n">
        <v>-45</v>
      </c>
      <c r="P2168" t="n">
        <v>0.012924</v>
      </c>
      <c r="Q2168" t="n">
        <v>-50</v>
      </c>
      <c r="R2168" t="n">
        <v>0.09909999999999999</v>
      </c>
      <c r="S2168">
        <f>IMAGE("https://mitra.stanford.edu/kundaje/oak/projects/neuro-variants/variant_position/credible/roussos_2024/variant_figures/roussos_2024.childhood.GLU/rs10179134_count_position.png",4,220,900)</f>
        <v/>
      </c>
      <c r="T2168">
        <f>IMAGE("https://mitra.stanford.edu/kundaje/oak/projects/neuro-variants/variant_position/credible/roussos_2024/variant_figures/roussos_2024.childhood.GLU/rs10179134_profile_position.png",4,220,900)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0.113503145</v>
      </c>
      <c r="G2169" t="n">
        <v>0.0354767968214686</v>
      </c>
      <c r="H2169" t="n">
        <v>0.0212628053608357</v>
      </c>
      <c r="I2169" t="n">
        <v>0.0899808246759216</v>
      </c>
      <c r="J2169" t="n">
        <v>0.0439624177114775</v>
      </c>
      <c r="K2169" t="n">
        <v>0.3741056181359746</v>
      </c>
      <c r="L2169" t="b">
        <v>0</v>
      </c>
      <c r="M2169" t="b">
        <v>0</v>
      </c>
      <c r="N2169" t="inlineStr">
        <is>
          <t>alt</t>
        </is>
      </c>
      <c r="O2169" t="n">
        <v>-40</v>
      </c>
      <c r="P2169" t="n">
        <v>0.00354</v>
      </c>
      <c r="Q2169" t="n">
        <v>-85</v>
      </c>
      <c r="R2169" t="n">
        <v>0.1841</v>
      </c>
      <c r="S2169">
        <f>IMAGE("https://mitra.stanford.edu/kundaje/oak/projects/neuro-variants/variant_position/credible/roussos_2024/variant_figures/roussos_2024.childhood.GLU/rs6753344_count_position.png",4,220,900)</f>
        <v/>
      </c>
      <c r="T2169">
        <f>IMAGE("https://mitra.stanford.edu/kundaje/oak/projects/neuro-variants/variant_position/credible/roussos_2024/variant_figures/roussos_2024.childhood.GLU/rs6753344_profile_position.png",4,220,900)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0.0534674854</v>
      </c>
      <c r="G2170" t="n">
        <v>0.1499041448768195</v>
      </c>
      <c r="H2170" t="n">
        <v>0.0131850825096895</v>
      </c>
      <c r="I2170" t="n">
        <v>0.3561281106660514</v>
      </c>
      <c r="J2170" t="n">
        <v>0.1716103310084786</v>
      </c>
      <c r="K2170" t="n">
        <v>0.1728633224929865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0.00525</v>
      </c>
      <c r="Q2170" t="n">
        <v>-55</v>
      </c>
      <c r="R2170" t="n">
        <v>0.06152</v>
      </c>
      <c r="S2170">
        <f>IMAGE("https://mitra.stanford.edu/kundaje/oak/projects/neuro-variants/variant_position/credible/roussos_2024/variant_figures/roussos_2024.childhood.GLU/rs6546837_count_position.png",4,220,900)</f>
        <v/>
      </c>
      <c r="T2170">
        <f>IMAGE("https://mitra.stanford.edu/kundaje/oak/projects/neuro-variants/variant_position/credible/roussos_2024/variant_figures/roussos_2024.childhood.GLU/rs6546837_profile_position.png",4,220,900)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0.0363748972</v>
      </c>
      <c r="G2171" t="n">
        <v>0.2683714968132832</v>
      </c>
      <c r="H2171" t="n">
        <v>0.0172977211052931</v>
      </c>
      <c r="I2171" t="n">
        <v>0.1600212251798806</v>
      </c>
      <c r="J2171" t="n">
        <v>0.0168182801570049</v>
      </c>
      <c r="K2171" t="n">
        <v>0.5184839234579961</v>
      </c>
      <c r="L2171" t="b">
        <v>0</v>
      </c>
      <c r="M2171" t="b">
        <v>0</v>
      </c>
      <c r="N2171" t="inlineStr">
        <is>
          <t>alt</t>
        </is>
      </c>
      <c r="O2171" t="n">
        <v>20</v>
      </c>
      <c r="P2171" t="n">
        <v>0.00315</v>
      </c>
      <c r="Q2171" t="n">
        <v>-40</v>
      </c>
      <c r="R2171" t="n">
        <v>0.08989999999999999</v>
      </c>
      <c r="S2171">
        <f>IMAGE("https://mitra.stanford.edu/kundaje/oak/projects/neuro-variants/variant_position/credible/roussos_2024/variant_figures/roussos_2024.childhood.GLU/rs62151652_count_position.png",4,220,900)</f>
        <v/>
      </c>
      <c r="T2171">
        <f>IMAGE("https://mitra.stanford.edu/kundaje/oak/projects/neuro-variants/variant_position/credible/roussos_2024/variant_figures/roussos_2024.childhood.GLU/rs62151652_profile_position.png",4,220,900)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0.0303568691999999</v>
      </c>
      <c r="G2172" t="n">
        <v>0.3123509572866594</v>
      </c>
      <c r="H2172" t="n">
        <v>0.010495468039027</v>
      </c>
      <c r="I2172" t="n">
        <v>0.596267690230885</v>
      </c>
      <c r="J2172" t="n">
        <v>0.3318882833506753</v>
      </c>
      <c r="K2172" t="n">
        <v>0.08594869476973151</v>
      </c>
      <c r="L2172" t="b">
        <v>0</v>
      </c>
      <c r="M2172" t="b">
        <v>0</v>
      </c>
      <c r="N2172" t="inlineStr">
        <is>
          <t>alt</t>
        </is>
      </c>
      <c r="O2172" t="n">
        <v>100</v>
      </c>
      <c r="P2172" t="n">
        <v>0.01433</v>
      </c>
      <c r="Q2172" t="n">
        <v>-60</v>
      </c>
      <c r="R2172" t="n">
        <v>0.12085</v>
      </c>
      <c r="S2172">
        <f>IMAGE("https://mitra.stanford.edu/kundaje/oak/projects/neuro-variants/variant_position/credible/roussos_2024/variant_figures/roussos_2024.childhood.GLU/rs10195357_count_position.png",4,220,900)</f>
        <v/>
      </c>
      <c r="T2172">
        <f>IMAGE("https://mitra.stanford.edu/kundaje/oak/projects/neuro-variants/variant_position/credible/roussos_2024/variant_figures/roussos_2024.childhood.GLU/rs10195357_profile_position.png",4,220,900)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-0.00698613772</v>
      </c>
      <c r="G2173" t="n">
        <v>0.7705880374299724</v>
      </c>
      <c r="H2173" t="n">
        <v>0.0309596265165424</v>
      </c>
      <c r="I2173" t="n">
        <v>0.0190081188581862</v>
      </c>
      <c r="J2173" t="n">
        <v>0.0074206475939298</v>
      </c>
      <c r="K2173" t="n">
        <v>0.6275343556303353</v>
      </c>
      <c r="L2173" t="b">
        <v>0</v>
      </c>
      <c r="M2173" t="b">
        <v>0</v>
      </c>
      <c r="N2173" t="inlineStr">
        <is>
          <t>ref</t>
        </is>
      </c>
      <c r="O2173" t="n">
        <v>100</v>
      </c>
      <c r="P2173" t="n">
        <v>0.04834</v>
      </c>
      <c r="Q2173" t="n">
        <v>75</v>
      </c>
      <c r="R2173" t="n">
        <v>0.05725</v>
      </c>
      <c r="S2173">
        <f>IMAGE("https://mitra.stanford.edu/kundaje/oak/projects/neuro-variants/variant_position/credible/roussos_2024/variant_figures/roussos_2024.childhood.GLU/rs13421462_count_position.png",4,220,900)</f>
        <v/>
      </c>
      <c r="T2173">
        <f>IMAGE("https://mitra.stanford.edu/kundaje/oak/projects/neuro-variants/variant_position/credible/roussos_2024/variant_figures/roussos_2024.childhood.GLU/rs13421462_profile_position.png",4,220,900)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0.0947014608</v>
      </c>
      <c r="G2174" t="n">
        <v>0.0514841434753461</v>
      </c>
      <c r="H2174" t="n">
        <v>0.0249680544175038</v>
      </c>
      <c r="I2174" t="n">
        <v>0.0438639801781284</v>
      </c>
      <c r="J2174" t="n">
        <v>0.007177516560726</v>
      </c>
      <c r="K2174" t="n">
        <v>0.6319308885203779</v>
      </c>
      <c r="L2174" t="b">
        <v>0</v>
      </c>
      <c r="M2174" t="b">
        <v>0</v>
      </c>
      <c r="N2174" t="inlineStr">
        <is>
          <t>alt</t>
        </is>
      </c>
      <c r="O2174" t="n">
        <v>-90</v>
      </c>
      <c r="P2174" t="n">
        <v>0.05826</v>
      </c>
      <c r="Q2174" t="n">
        <v>100</v>
      </c>
      <c r="R2174" t="n">
        <v>0.05612</v>
      </c>
      <c r="S2174">
        <f>IMAGE("https://mitra.stanford.edu/kundaje/oak/projects/neuro-variants/variant_position/credible/roussos_2024/variant_figures/roussos_2024.childhood.GLU/rs13398956_count_position.png",4,220,900)</f>
        <v/>
      </c>
      <c r="T2174">
        <f>IMAGE("https://mitra.stanford.edu/kundaje/oak/projects/neuro-variants/variant_position/credible/roussos_2024/variant_figures/roussos_2024.childhood.GLU/rs13398956_profile_position.png",4,220,900)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0.1570647448</v>
      </c>
      <c r="G2175" t="n">
        <v>0.0170575296747291</v>
      </c>
      <c r="H2175" t="n">
        <v>0.019291115219411</v>
      </c>
      <c r="I2175" t="n">
        <v>0.1354529843289553</v>
      </c>
      <c r="J2175" t="n">
        <v>0.0367663572583885</v>
      </c>
      <c r="K2175" t="n">
        <v>0.4052324929100574</v>
      </c>
      <c r="L2175" t="b">
        <v>1</v>
      </c>
      <c r="M2175" t="b">
        <v>0</v>
      </c>
      <c r="N2175" t="inlineStr">
        <is>
          <t>alt</t>
        </is>
      </c>
      <c r="O2175" t="n">
        <v>-55</v>
      </c>
      <c r="P2175" t="n">
        <v>0.01024</v>
      </c>
      <c r="Q2175" t="n">
        <v>25</v>
      </c>
      <c r="R2175" t="n">
        <v>0.03577</v>
      </c>
      <c r="S2175">
        <f>IMAGE("https://mitra.stanford.edu/kundaje/oak/projects/neuro-variants/variant_position/credible/roussos_2024/variant_figures/roussos_2024.childhood.GLU/rs73947808_count_position.png",4,220,900)</f>
        <v/>
      </c>
      <c r="T2175">
        <f>IMAGE("https://mitra.stanford.edu/kundaje/oak/projects/neuro-variants/variant_position/credible/roussos_2024/variant_figures/roussos_2024.childhood.GLU/rs73947808_profile_position.png",4,220,900)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0.0301651922</v>
      </c>
      <c r="G2176" t="n">
        <v>0.3148716905132219</v>
      </c>
      <c r="H2176" t="n">
        <v>0.0221544189922323</v>
      </c>
      <c r="I2176" t="n">
        <v>0.0680239598320154</v>
      </c>
      <c r="J2176" t="n">
        <v>0.0010013701876023</v>
      </c>
      <c r="K2176" t="n">
        <v>0.8356121281028537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0.0008698</v>
      </c>
      <c r="Q2176" t="n">
        <v>55</v>
      </c>
      <c r="R2176" t="n">
        <v>0.0883</v>
      </c>
      <c r="S2176">
        <f>IMAGE("https://mitra.stanford.edu/kundaje/oak/projects/neuro-variants/variant_position/credible/roussos_2024/variant_figures/roussos_2024.childhood.GLU/rs11693586_count_position.png",4,220,900)</f>
        <v/>
      </c>
      <c r="T2176">
        <f>IMAGE("https://mitra.stanford.edu/kundaje/oak/projects/neuro-variants/variant_position/credible/roussos_2024/variant_figures/roussos_2024.childhood.GLU/rs11693586_profile_position.png",4,220,900)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-0.00593049104</v>
      </c>
      <c r="G2177" t="n">
        <v>0.6375851320636293</v>
      </c>
      <c r="H2177" t="n">
        <v>0.0129562071278003</v>
      </c>
      <c r="I2177" t="n">
        <v>0.3721662929483233</v>
      </c>
      <c r="J2177" t="n">
        <v>0.0007922362903972</v>
      </c>
      <c r="K2177" t="n">
        <v>0.8475701906528582</v>
      </c>
      <c r="L2177" t="b">
        <v>0</v>
      </c>
      <c r="M2177" t="b">
        <v>0</v>
      </c>
      <c r="N2177" t="inlineStr">
        <is>
          <t>ref</t>
        </is>
      </c>
      <c r="O2177" t="n">
        <v>60</v>
      </c>
      <c r="P2177" t="n">
        <v>0.0002403</v>
      </c>
      <c r="Q2177" t="n">
        <v>60</v>
      </c>
      <c r="R2177" t="n">
        <v>0.05975</v>
      </c>
      <c r="S2177">
        <f>IMAGE("https://mitra.stanford.edu/kundaje/oak/projects/neuro-variants/variant_position/credible/roussos_2024/variant_figures/roussos_2024.childhood.GLU/rs11693588_count_position.png",4,220,900)</f>
        <v/>
      </c>
      <c r="T2177">
        <f>IMAGE("https://mitra.stanford.edu/kundaje/oak/projects/neuro-variants/variant_position/credible/roussos_2024/variant_figures/roussos_2024.childhood.GLU/rs11693588_profile_position.png",4,220,900)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0.0528122784</v>
      </c>
      <c r="G2178" t="n">
        <v>0.1602190028440258</v>
      </c>
      <c r="H2178" t="n">
        <v>0.0227895931469116</v>
      </c>
      <c r="I2178" t="n">
        <v>0.0621465950756773</v>
      </c>
      <c r="J2178" t="n">
        <v>0.0267732597072125</v>
      </c>
      <c r="K2178" t="n">
        <v>0.4520639637534375</v>
      </c>
      <c r="L2178" t="b">
        <v>0</v>
      </c>
      <c r="M2178" t="b">
        <v>0</v>
      </c>
      <c r="N2178" t="inlineStr">
        <is>
          <t>alt</t>
        </is>
      </c>
      <c r="O2178" t="n">
        <v>-75</v>
      </c>
      <c r="P2178" t="n">
        <v>0.002625</v>
      </c>
      <c r="Q2178" t="n">
        <v>-5</v>
      </c>
      <c r="R2178" t="n">
        <v>0.003906</v>
      </c>
      <c r="S2178">
        <f>IMAGE("https://mitra.stanford.edu/kundaje/oak/projects/neuro-variants/variant_position/credible/roussos_2024/variant_figures/roussos_2024.childhood.GLU/rs6711033_count_position.png",4,220,900)</f>
        <v/>
      </c>
      <c r="T2178">
        <f>IMAGE("https://mitra.stanford.edu/kundaje/oak/projects/neuro-variants/variant_position/credible/roussos_2024/variant_figures/roussos_2024.childhood.GLU/rs6711033_profile_position.png",4,220,900)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0.07850725</v>
      </c>
      <c r="G2179" t="n">
        <v>0.07683313411921849</v>
      </c>
      <c r="H2179" t="n">
        <v>0.028617776349364</v>
      </c>
      <c r="I2179" t="n">
        <v>0.0263782603426796</v>
      </c>
      <c r="J2179" t="n">
        <v>0.0399260304737964</v>
      </c>
      <c r="K2179" t="n">
        <v>0.3917268560907808</v>
      </c>
      <c r="L2179" t="b">
        <v>0</v>
      </c>
      <c r="M2179" t="b">
        <v>0</v>
      </c>
      <c r="N2179" t="inlineStr">
        <is>
          <t>alt</t>
        </is>
      </c>
      <c r="O2179" t="n">
        <v>-100</v>
      </c>
      <c r="P2179" t="n">
        <v>0.007687</v>
      </c>
      <c r="Q2179" t="n">
        <v>100</v>
      </c>
      <c r="R2179" t="n">
        <v>0.2842</v>
      </c>
      <c r="S2179">
        <f>IMAGE("https://mitra.stanford.edu/kundaje/oak/projects/neuro-variants/variant_position/credible/roussos_2024/variant_figures/roussos_2024.childhood.GLU/rs11884776_count_position.png",4,220,900)</f>
        <v/>
      </c>
      <c r="T2179">
        <f>IMAGE("https://mitra.stanford.edu/kundaje/oak/projects/neuro-variants/variant_position/credible/roussos_2024/variant_figures/roussos_2024.childhood.GLU/rs11884776_profile_position.png",4,220,900)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-0.0092922906799999</v>
      </c>
      <c r="G2180" t="n">
        <v>0.7042372994756887</v>
      </c>
      <c r="H2180" t="n">
        <v>0.0232542277763913</v>
      </c>
      <c r="I2180" t="n">
        <v>0.0564889880641593</v>
      </c>
      <c r="J2180" t="n">
        <v>0.0232262251846662</v>
      </c>
      <c r="K2180" t="n">
        <v>0.4861492706184234</v>
      </c>
      <c r="L2180" t="b">
        <v>0</v>
      </c>
      <c r="M2180" t="b">
        <v>0</v>
      </c>
      <c r="N2180" t="inlineStr">
        <is>
          <t>ref</t>
        </is>
      </c>
      <c r="O2180" t="n">
        <v>-100</v>
      </c>
      <c r="P2180" t="n">
        <v>0.01683</v>
      </c>
      <c r="Q2180" t="n">
        <v>55</v>
      </c>
      <c r="R2180" t="n">
        <v>0.04492</v>
      </c>
      <c r="S2180">
        <f>IMAGE("https://mitra.stanford.edu/kundaje/oak/projects/neuro-variants/variant_position/credible/roussos_2024/variant_figures/roussos_2024.childhood.GLU/rs6719753_count_position.png",4,220,900)</f>
        <v/>
      </c>
      <c r="T2180">
        <f>IMAGE("https://mitra.stanford.edu/kundaje/oak/projects/neuro-variants/variant_position/credible/roussos_2024/variant_figures/roussos_2024.childhood.GLU/rs6719753_profile_position.png",4,220,900)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-0.06357660480000001</v>
      </c>
      <c r="G2181" t="n">
        <v>0.1276096506772956</v>
      </c>
      <c r="H2181" t="n">
        <v>0.0148626684738233</v>
      </c>
      <c r="I2181" t="n">
        <v>0.260017805883319</v>
      </c>
      <c r="J2181" t="n">
        <v>0.0048492278529262</v>
      </c>
      <c r="K2181" t="n">
        <v>0.6770186370841919</v>
      </c>
      <c r="L2181" t="b">
        <v>0</v>
      </c>
      <c r="M2181" t="b">
        <v>0</v>
      </c>
      <c r="N2181" t="inlineStr">
        <is>
          <t>ref</t>
        </is>
      </c>
      <c r="O2181" t="n">
        <v>-65</v>
      </c>
      <c r="P2181" t="n">
        <v>0.003822</v>
      </c>
      <c r="Q2181" t="n">
        <v>75</v>
      </c>
      <c r="R2181" t="n">
        <v>0.1377</v>
      </c>
      <c r="S2181">
        <f>IMAGE("https://mitra.stanford.edu/kundaje/oak/projects/neuro-variants/variant_position/credible/roussos_2024/variant_figures/roussos_2024.childhood.GLU/rs13409668_count_position.png",4,220,900)</f>
        <v/>
      </c>
      <c r="T2181">
        <f>IMAGE("https://mitra.stanford.edu/kundaje/oak/projects/neuro-variants/variant_position/credible/roussos_2024/variant_figures/roussos_2024.childhood.GLU/rs13409668_profile_position.png",4,220,900)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-0.11827015</v>
      </c>
      <c r="G2182" t="n">
        <v>0.0304357367203571</v>
      </c>
      <c r="H2182" t="n">
        <v>0.0188172704532996</v>
      </c>
      <c r="I2182" t="n">
        <v>0.1228786522163013</v>
      </c>
      <c r="J2182" t="n">
        <v>0.0565166328412333</v>
      </c>
      <c r="K2182" t="n">
        <v>0.3557582977682014</v>
      </c>
      <c r="L2182" t="b">
        <v>0</v>
      </c>
      <c r="M2182" t="b">
        <v>0</v>
      </c>
      <c r="N2182" t="inlineStr">
        <is>
          <t>ref</t>
        </is>
      </c>
      <c r="O2182" t="n">
        <v>-20</v>
      </c>
      <c r="P2182" t="n">
        <v>0.001709</v>
      </c>
      <c r="Q2182" t="n">
        <v>65</v>
      </c>
      <c r="R2182" t="n">
        <v>0.03662</v>
      </c>
      <c r="S2182">
        <f>IMAGE("https://mitra.stanford.edu/kundaje/oak/projects/neuro-variants/variant_position/credible/roussos_2024/variant_figures/roussos_2024.childhood.GLU/rs7566385_count_position.png",4,220,900)</f>
        <v/>
      </c>
      <c r="T2182">
        <f>IMAGE("https://mitra.stanford.edu/kundaje/oak/projects/neuro-variants/variant_position/credible/roussos_2024/variant_figures/roussos_2024.childhood.GLU/rs7566385_profile_position.png",4,220,900)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0.100135186</v>
      </c>
      <c r="G2183" t="n">
        <v>0.0447216147956885</v>
      </c>
      <c r="H2183" t="n">
        <v>0.0230427886563309</v>
      </c>
      <c r="I2183" t="n">
        <v>0.0593074469232302</v>
      </c>
      <c r="J2183" t="n">
        <v>0.0170634716226935</v>
      </c>
      <c r="K2183" t="n">
        <v>0.51336252710539</v>
      </c>
      <c r="L2183" t="b">
        <v>0</v>
      </c>
      <c r="M2183" t="b">
        <v>0</v>
      </c>
      <c r="N2183" t="inlineStr">
        <is>
          <t>alt</t>
        </is>
      </c>
      <c r="O2183" t="n">
        <v>35</v>
      </c>
      <c r="P2183" t="n">
        <v>0.001648</v>
      </c>
      <c r="Q2183" t="n">
        <v>80</v>
      </c>
      <c r="R2183" t="n">
        <v>0.006836</v>
      </c>
      <c r="S2183">
        <f>IMAGE("https://mitra.stanford.edu/kundaje/oak/projects/neuro-variants/variant_position/credible/roussos_2024/variant_figures/roussos_2024.childhood.GLU/rs13431267_count_position.png",4,220,900)</f>
        <v/>
      </c>
      <c r="T2183">
        <f>IMAGE("https://mitra.stanford.edu/kundaje/oak/projects/neuro-variants/variant_position/credible/roussos_2024/variant_figures/roussos_2024.childhood.GLU/rs13431267_profile_position.png",4,220,900)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-0.0061374128299999</v>
      </c>
      <c r="G2184" t="n">
        <v>0.7952978449259481</v>
      </c>
      <c r="H2184" t="n">
        <v>0.0137622015336698</v>
      </c>
      <c r="I2184" t="n">
        <v>0.3121994855335025</v>
      </c>
      <c r="J2184" t="n">
        <v>0.08090494194731471</v>
      </c>
      <c r="K2184" t="n">
        <v>0.2776050425582212</v>
      </c>
      <c r="L2184" t="b">
        <v>0</v>
      </c>
      <c r="M2184" t="b">
        <v>0</v>
      </c>
      <c r="N2184" t="inlineStr">
        <is>
          <t>ref</t>
        </is>
      </c>
      <c r="O2184" t="n">
        <v>95</v>
      </c>
      <c r="P2184" t="n">
        <v>0.002045</v>
      </c>
      <c r="Q2184" t="n">
        <v>95</v>
      </c>
      <c r="R2184" t="n">
        <v>0.1882</v>
      </c>
      <c r="S2184">
        <f>IMAGE("https://mitra.stanford.edu/kundaje/oak/projects/neuro-variants/variant_position/credible/roussos_2024/variant_figures/roussos_2024.childhood.GLU/rs7604682_count_position.png",4,220,900)</f>
        <v/>
      </c>
      <c r="T2184">
        <f>IMAGE("https://mitra.stanford.edu/kundaje/oak/projects/neuro-variants/variant_position/credible/roussos_2024/variant_figures/roussos_2024.childhood.GLU/rs7604682_profile_position.png",4,220,900)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0.16508468</v>
      </c>
      <c r="G2185" t="n">
        <v>0.0143048071321994</v>
      </c>
      <c r="H2185" t="n">
        <v>0.0219331439163953</v>
      </c>
      <c r="I2185" t="n">
        <v>0.0809434946499366</v>
      </c>
      <c r="J2185" t="n">
        <v>0.1652538967929368</v>
      </c>
      <c r="K2185" t="n">
        <v>0.1738151756502465</v>
      </c>
      <c r="L2185" t="b">
        <v>1</v>
      </c>
      <c r="M2185" t="b">
        <v>0</v>
      </c>
      <c r="N2185" t="inlineStr">
        <is>
          <t>alt</t>
        </is>
      </c>
      <c r="O2185" t="n">
        <v>0</v>
      </c>
      <c r="P2185" t="n">
        <v>0</v>
      </c>
      <c r="Q2185" t="n">
        <v>30</v>
      </c>
      <c r="R2185" t="n">
        <v>0.0537</v>
      </c>
      <c r="S2185">
        <f>IMAGE("https://mitra.stanford.edu/kundaje/oak/projects/neuro-variants/variant_position/credible/roussos_2024/variant_figures/roussos_2024.childhood.GLU/rs7580750_count_position.png",4,220,900)</f>
        <v/>
      </c>
      <c r="T2185">
        <f>IMAGE("https://mitra.stanford.edu/kundaje/oak/projects/neuro-variants/variant_position/credible/roussos_2024/variant_figures/roussos_2024.childhood.GLU/rs7580750_profile_position.png",4,220,900)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-0.0143008728</v>
      </c>
      <c r="G2186" t="n">
        <v>0.5598512500964798</v>
      </c>
      <c r="H2186" t="n">
        <v>0.0150140990522881</v>
      </c>
      <c r="I2186" t="n">
        <v>0.2521007855384692</v>
      </c>
      <c r="J2186" t="n">
        <v>0.0025992355795481</v>
      </c>
      <c r="K2186" t="n">
        <v>0.7436632592569419</v>
      </c>
      <c r="L2186" t="b">
        <v>0</v>
      </c>
      <c r="M2186" t="b">
        <v>0</v>
      </c>
      <c r="N2186" t="inlineStr">
        <is>
          <t>ref</t>
        </is>
      </c>
      <c r="O2186" t="n">
        <v>70</v>
      </c>
      <c r="P2186" t="n">
        <v>0.01962</v>
      </c>
      <c r="Q2186" t="n">
        <v>5</v>
      </c>
      <c r="R2186" t="n">
        <v>0.0214</v>
      </c>
      <c r="S2186">
        <f>IMAGE("https://mitra.stanford.edu/kundaje/oak/projects/neuro-variants/variant_position/credible/roussos_2024/variant_figures/roussos_2024.childhood.GLU/rs6735946_count_position.png",4,220,900)</f>
        <v/>
      </c>
      <c r="T2186">
        <f>IMAGE("https://mitra.stanford.edu/kundaje/oak/projects/neuro-variants/variant_position/credible/roussos_2024/variant_figures/roussos_2024.childhood.GLU/rs6735946_profile_position.png",4,220,900)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-0.00616180944</v>
      </c>
      <c r="G2187" t="n">
        <v>0.6793679663298161</v>
      </c>
      <c r="H2187" t="n">
        <v>0.008220220929156899</v>
      </c>
      <c r="I2187" t="n">
        <v>0.8384432044280656</v>
      </c>
      <c r="J2187" t="n">
        <v>0.0097777823565166</v>
      </c>
      <c r="K2187" t="n">
        <v>0.5981646983519322</v>
      </c>
      <c r="L2187" t="b">
        <v>0</v>
      </c>
      <c r="M2187" t="b">
        <v>0</v>
      </c>
      <c r="N2187" t="inlineStr">
        <is>
          <t>ref</t>
        </is>
      </c>
      <c r="O2187" t="n">
        <v>-95</v>
      </c>
      <c r="P2187" t="n">
        <v>0.0161</v>
      </c>
      <c r="Q2187" t="n">
        <v>-100</v>
      </c>
      <c r="R2187" t="n">
        <v>0.11566</v>
      </c>
      <c r="S2187">
        <f>IMAGE("https://mitra.stanford.edu/kundaje/oak/projects/neuro-variants/variant_position/credible/roussos_2024/variant_figures/roussos_2024.childhood.GLU/rs10197755_count_position.png",4,220,900)</f>
        <v/>
      </c>
      <c r="T2187">
        <f>IMAGE("https://mitra.stanford.edu/kundaje/oak/projects/neuro-variants/variant_position/credible/roussos_2024/variant_figures/roussos_2024.childhood.GLU/rs10197755_profile_position.png",4,220,900)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0.0561343843999999</v>
      </c>
      <c r="G2188" t="n">
        <v>0.1573007163429687</v>
      </c>
      <c r="H2188" t="n">
        <v>0.0148188080249162</v>
      </c>
      <c r="I2188" t="n">
        <v>0.2613688677080154</v>
      </c>
      <c r="J2188" t="n">
        <v>0.0286389813221794</v>
      </c>
      <c r="K2188" t="n">
        <v>0.434131578078447</v>
      </c>
      <c r="L2188" t="b">
        <v>0</v>
      </c>
      <c r="M2188" t="b">
        <v>0</v>
      </c>
      <c r="N2188" t="inlineStr">
        <is>
          <t>alt</t>
        </is>
      </c>
      <c r="O2188" t="n">
        <v>100</v>
      </c>
      <c r="P2188" t="n">
        <v>0.02817</v>
      </c>
      <c r="Q2188" t="n">
        <v>80</v>
      </c>
      <c r="R2188" t="n">
        <v>0.04688</v>
      </c>
      <c r="S2188">
        <f>IMAGE("https://mitra.stanford.edu/kundaje/oak/projects/neuro-variants/variant_position/credible/roussos_2024/variant_figures/roussos_2024.childhood.GLU/rs7583255_count_position.png",4,220,900)</f>
        <v/>
      </c>
      <c r="T2188">
        <f>IMAGE("https://mitra.stanford.edu/kundaje/oak/projects/neuro-variants/variant_position/credible/roussos_2024/variant_figures/roussos_2024.childhood.GLU/rs7583255_profile_position.png",4,220,900)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0.01192180328</v>
      </c>
      <c r="G2189" t="n">
        <v>0.604478725248805</v>
      </c>
      <c r="H2189" t="n">
        <v>0.0260925314420636</v>
      </c>
      <c r="I2189" t="n">
        <v>0.0378083946512698</v>
      </c>
      <c r="J2189" t="n">
        <v>0.0002544634118701</v>
      </c>
      <c r="K2189" t="n">
        <v>0.9050045094937332</v>
      </c>
      <c r="L2189" t="b">
        <v>0</v>
      </c>
      <c r="M2189" t="b">
        <v>0</v>
      </c>
      <c r="N2189" t="inlineStr">
        <is>
          <t>alt</t>
        </is>
      </c>
      <c r="O2189" t="n">
        <v>-100</v>
      </c>
      <c r="P2189" t="n">
        <v>0.009476</v>
      </c>
      <c r="Q2189" t="n">
        <v>50</v>
      </c>
      <c r="R2189" t="n">
        <v>0.01892</v>
      </c>
      <c r="S2189">
        <f>IMAGE("https://mitra.stanford.edu/kundaje/oak/projects/neuro-variants/variant_position/credible/roussos_2024/variant_figures/roussos_2024.childhood.GLU/rs7558944_count_position.png",4,220,900)</f>
        <v/>
      </c>
      <c r="T2189">
        <f>IMAGE("https://mitra.stanford.edu/kundaje/oak/projects/neuro-variants/variant_position/credible/roussos_2024/variant_figures/roussos_2024.childhood.GLU/rs7558944_profile_position.png",4,220,900)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-0.00433132404</v>
      </c>
      <c r="G2190" t="n">
        <v>0.8270001347057685</v>
      </c>
      <c r="H2190" t="n">
        <v>0.0074130634183153</v>
      </c>
      <c r="I2190" t="n">
        <v>0.8869159010986063</v>
      </c>
      <c r="J2190" t="n">
        <v>0.0610372217128374</v>
      </c>
      <c r="K2190" t="n">
        <v>0.327714747950491</v>
      </c>
      <c r="L2190" t="b">
        <v>0</v>
      </c>
      <c r="M2190" t="b">
        <v>0</v>
      </c>
      <c r="N2190" t="inlineStr">
        <is>
          <t>ref</t>
        </is>
      </c>
      <c r="O2190" t="n">
        <v>-45</v>
      </c>
      <c r="P2190" t="n">
        <v>0.00676</v>
      </c>
      <c r="Q2190" t="n">
        <v>100</v>
      </c>
      <c r="R2190" t="n">
        <v>0.1726</v>
      </c>
      <c r="S2190">
        <f>IMAGE("https://mitra.stanford.edu/kundaje/oak/projects/neuro-variants/variant_position/credible/roussos_2024/variant_figures/roussos_2024.childhood.GLU/rs11903916_count_position.png",4,220,900)</f>
        <v/>
      </c>
      <c r="T2190">
        <f>IMAGE("https://mitra.stanford.edu/kundaje/oak/projects/neuro-variants/variant_position/credible/roussos_2024/variant_figures/roussos_2024.childhood.GLU/rs11903916_profile_position.png",4,220,900)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-0.221419218</v>
      </c>
      <c r="G2191" t="n">
        <v>0.0055149419343294</v>
      </c>
      <c r="H2191" t="n">
        <v>0.0313493048410607</v>
      </c>
      <c r="I2191" t="n">
        <v>0.0182151220051889</v>
      </c>
      <c r="J2191" t="n">
        <v>0.0380046771817404</v>
      </c>
      <c r="K2191" t="n">
        <v>0.410395507529003</v>
      </c>
      <c r="L2191" t="b">
        <v>1</v>
      </c>
      <c r="M2191" t="b">
        <v>1</v>
      </c>
      <c r="N2191" t="inlineStr">
        <is>
          <t>ref</t>
        </is>
      </c>
      <c r="O2191" t="n">
        <v>70</v>
      </c>
      <c r="P2191" t="n">
        <v>0.008449999999999999</v>
      </c>
      <c r="Q2191" t="n">
        <v>15</v>
      </c>
      <c r="R2191" t="n">
        <v>0.0188</v>
      </c>
      <c r="S2191">
        <f>IMAGE("https://mitra.stanford.edu/kundaje/oak/projects/neuro-variants/variant_position/credible/roussos_2024/variant_figures/roussos_2024.childhood.GLU/rs7603647_count_position.png",4,220,900)</f>
        <v/>
      </c>
      <c r="T2191">
        <f>IMAGE("https://mitra.stanford.edu/kundaje/oak/projects/neuro-variants/variant_position/credible/roussos_2024/variant_figures/roussos_2024.childhood.GLU/rs7603647_profile_position.png",4,220,900)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0.0313426906</v>
      </c>
      <c r="G2192" t="n">
        <v>0.315932186085096</v>
      </c>
      <c r="H2192" t="n">
        <v>0.012258144575935</v>
      </c>
      <c r="I2192" t="n">
        <v>0.4105643521156819</v>
      </c>
      <c r="J2192" t="n">
        <v>0.0731906827243038</v>
      </c>
      <c r="K2192" t="n">
        <v>0.2922023497061651</v>
      </c>
      <c r="L2192" t="b">
        <v>0</v>
      </c>
      <c r="M2192" t="b">
        <v>0</v>
      </c>
      <c r="N2192" t="inlineStr">
        <is>
          <t>alt</t>
        </is>
      </c>
      <c r="O2192" t="n">
        <v>-90</v>
      </c>
      <c r="P2192" t="n">
        <v>0.02316</v>
      </c>
      <c r="Q2192" t="n">
        <v>-100</v>
      </c>
      <c r="R2192" t="n">
        <v>0.0505</v>
      </c>
      <c r="S2192">
        <f>IMAGE("https://mitra.stanford.edu/kundaje/oak/projects/neuro-variants/variant_position/credible/roussos_2024/variant_figures/roussos_2024.childhood.GLU/rs6546856_count_position.png",4,220,900)</f>
        <v/>
      </c>
      <c r="T2192">
        <f>IMAGE("https://mitra.stanford.edu/kundaje/oak/projects/neuro-variants/variant_position/credible/roussos_2024/variant_figures/roussos_2024.childhood.GLU/rs6546856_profile_position.png",4,220,900)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-0.0518342754</v>
      </c>
      <c r="G2193" t="n">
        <v>0.174123907731988</v>
      </c>
      <c r="H2193" t="n">
        <v>0.0179570314158377</v>
      </c>
      <c r="I2193" t="n">
        <v>0.1435810480374455</v>
      </c>
      <c r="J2193" t="n">
        <v>0.0736419174384703</v>
      </c>
      <c r="K2193" t="n">
        <v>0.2897352699578217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0.02617</v>
      </c>
      <c r="Q2193" t="n">
        <v>90</v>
      </c>
      <c r="R2193" t="n">
        <v>0.08386</v>
      </c>
      <c r="S2193">
        <f>IMAGE("https://mitra.stanford.edu/kundaje/oak/projects/neuro-variants/variant_position/credible/roussos_2024/variant_figures/roussos_2024.childhood.GLU/rs13407231_count_position.png",4,220,900)</f>
        <v/>
      </c>
      <c r="T2193">
        <f>IMAGE("https://mitra.stanford.edu/kundaje/oak/projects/neuro-variants/variant_position/credible/roussos_2024/variant_figures/roussos_2024.childhood.GLU/rs13407231_profile_position.png",4,220,900)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0.1378156352</v>
      </c>
      <c r="G2194" t="n">
        <v>0.0207894996210615</v>
      </c>
      <c r="H2194" t="n">
        <v>0.0348380361875495</v>
      </c>
      <c r="I2194" t="n">
        <v>0.0130865508795612</v>
      </c>
      <c r="J2194" t="n">
        <v>0.1241760845601491</v>
      </c>
      <c r="K2194" t="n">
        <v>0.2126738017721339</v>
      </c>
      <c r="L2194" t="b">
        <v>1</v>
      </c>
      <c r="M2194" t="b">
        <v>0</v>
      </c>
      <c r="N2194" t="inlineStr">
        <is>
          <t>alt</t>
        </is>
      </c>
      <c r="O2194" t="n">
        <v>-70</v>
      </c>
      <c r="P2194" t="n">
        <v>0.00894</v>
      </c>
      <c r="Q2194" t="n">
        <v>80</v>
      </c>
      <c r="R2194" t="n">
        <v>0.1111</v>
      </c>
      <c r="S2194">
        <f>IMAGE("https://mitra.stanford.edu/kundaje/oak/projects/neuro-variants/variant_position/credible/roussos_2024/variant_figures/roussos_2024.childhood.GLU/rs17016552_count_position.png",4,220,900)</f>
        <v/>
      </c>
      <c r="T2194">
        <f>IMAGE("https://mitra.stanford.edu/kundaje/oak/projects/neuro-variants/variant_position/credible/roussos_2024/variant_figures/roussos_2024.childhood.GLU/rs17016552_profile_position.png",4,220,900)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0.1118746719999999</v>
      </c>
      <c r="G2195" t="n">
        <v>0.037127850280559</v>
      </c>
      <c r="H2195" t="n">
        <v>0.0342655779482962</v>
      </c>
      <c r="I2195" t="n">
        <v>0.0128378426784633</v>
      </c>
      <c r="J2195" t="n">
        <v>0.1520351921868399</v>
      </c>
      <c r="K2195" t="n">
        <v>0.1838382564094798</v>
      </c>
      <c r="L2195" t="b">
        <v>1</v>
      </c>
      <c r="M2195" t="b">
        <v>0</v>
      </c>
      <c r="N2195" t="inlineStr">
        <is>
          <t>alt</t>
        </is>
      </c>
      <c r="O2195" t="n">
        <v>100</v>
      </c>
      <c r="P2195" t="n">
        <v>0.00453</v>
      </c>
      <c r="Q2195" t="n">
        <v>-65</v>
      </c>
      <c r="R2195" t="n">
        <v>0.1201</v>
      </c>
      <c r="S2195">
        <f>IMAGE("https://mitra.stanford.edu/kundaje/oak/projects/neuro-variants/variant_position/credible/roussos_2024/variant_figures/roussos_2024.childhood.GLU/rs13406464_count_position.png",4,220,900)</f>
        <v/>
      </c>
      <c r="T2195">
        <f>IMAGE("https://mitra.stanford.edu/kundaje/oak/projects/neuro-variants/variant_position/credible/roussos_2024/variant_figures/roussos_2024.childhood.GLU/rs13406464_profile_position.png",4,220,900)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-0.0326027122</v>
      </c>
      <c r="G2196" t="n">
        <v>0.3241820462511838</v>
      </c>
      <c r="H2196" t="n">
        <v>0.0187176957756035</v>
      </c>
      <c r="I2196" t="n">
        <v>0.1228741542150514</v>
      </c>
      <c r="J2196" t="n">
        <v>0.0108873252495698</v>
      </c>
      <c r="K2196" t="n">
        <v>0.5792191603524659</v>
      </c>
      <c r="L2196" t="b">
        <v>0</v>
      </c>
      <c r="M2196" t="b">
        <v>0</v>
      </c>
      <c r="N2196" t="inlineStr">
        <is>
          <t>ref</t>
        </is>
      </c>
      <c r="O2196" t="n">
        <v>-40</v>
      </c>
      <c r="P2196" t="n">
        <v>0.003967</v>
      </c>
      <c r="Q2196" t="n">
        <v>80</v>
      </c>
      <c r="R2196" t="n">
        <v>0.06793</v>
      </c>
      <c r="S2196">
        <f>IMAGE("https://mitra.stanford.edu/kundaje/oak/projects/neuro-variants/variant_position/credible/roussos_2024/variant_figures/roussos_2024.childhood.GLU/rs4535062_count_position.png",4,220,900)</f>
        <v/>
      </c>
      <c r="T2196">
        <f>IMAGE("https://mitra.stanford.edu/kundaje/oak/projects/neuro-variants/variant_position/credible/roussos_2024/variant_figures/roussos_2024.childhood.GLU/rs4535062_profile_position.png",4,220,900)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-0.0871432908</v>
      </c>
      <c r="G2197" t="n">
        <v>0.0666958536055688</v>
      </c>
      <c r="H2197" t="n">
        <v>0.0235624340460863</v>
      </c>
      <c r="I2197" t="n">
        <v>0.0572178040556459</v>
      </c>
      <c r="J2197" t="n">
        <v>0.3331925371135401</v>
      </c>
      <c r="K2197" t="n">
        <v>0.0846080320746283</v>
      </c>
      <c r="L2197" t="b">
        <v>0</v>
      </c>
      <c r="M2197" t="b">
        <v>0</v>
      </c>
      <c r="N2197" t="inlineStr">
        <is>
          <t>ref</t>
        </is>
      </c>
      <c r="O2197" t="n">
        <v>-100</v>
      </c>
      <c r="P2197" t="n">
        <v>0.10474</v>
      </c>
      <c r="Q2197" t="n">
        <v>-100</v>
      </c>
      <c r="R2197" t="n">
        <v>0.3694</v>
      </c>
      <c r="S2197">
        <f>IMAGE("https://mitra.stanford.edu/kundaje/oak/projects/neuro-variants/variant_position/credible/roussos_2024/variant_figures/roussos_2024.childhood.GLU/rs17029753_count_position.png",4,220,900)</f>
        <v/>
      </c>
      <c r="T2197">
        <f>IMAGE("https://mitra.stanford.edu/kundaje/oak/projects/neuro-variants/variant_position/credible/roussos_2024/variant_figures/roussos_2024.childhood.GLU/rs17029753_profile_position.png",4,220,900)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0.0376665241</v>
      </c>
      <c r="G2198" t="n">
        <v>0.2593120139409184</v>
      </c>
      <c r="H2198" t="n">
        <v>0.0111962104560515</v>
      </c>
      <c r="I2198" t="n">
        <v>0.5338791797390708</v>
      </c>
      <c r="J2198" t="n">
        <v>0.4149216520547663</v>
      </c>
      <c r="K2198" t="n">
        <v>0.0606944500096926</v>
      </c>
      <c r="L2198" t="b">
        <v>0</v>
      </c>
      <c r="M2198" t="b">
        <v>0</v>
      </c>
      <c r="N2198" t="inlineStr">
        <is>
          <t>alt</t>
        </is>
      </c>
      <c r="O2198" t="n">
        <v>-100</v>
      </c>
      <c r="P2198" t="n">
        <v>0.01538</v>
      </c>
      <c r="Q2198" t="n">
        <v>35</v>
      </c>
      <c r="R2198" t="n">
        <v>0.083</v>
      </c>
      <c r="S2198">
        <f>IMAGE("https://mitra.stanford.edu/kundaje/oak/projects/neuro-variants/variant_position/credible/roussos_2024/variant_figures/roussos_2024.childhood.GLU/rs60641243_count_position.png",4,220,900)</f>
        <v/>
      </c>
      <c r="T2198">
        <f>IMAGE("https://mitra.stanford.edu/kundaje/oak/projects/neuro-variants/variant_position/credible/roussos_2024/variant_figures/roussos_2024.childhood.GLU/rs60641243_profile_position.png",4,220,900)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0.122659929</v>
      </c>
      <c r="G2199" t="n">
        <v>0.0276928182775784</v>
      </c>
      <c r="H2199" t="n">
        <v>0.029839282411881</v>
      </c>
      <c r="I2199" t="n">
        <v>0.0244803817208783</v>
      </c>
      <c r="J2199" t="n">
        <v>0.2702741405420997</v>
      </c>
      <c r="K2199" t="n">
        <v>0.1101895646728824</v>
      </c>
      <c r="L2199" t="b">
        <v>0</v>
      </c>
      <c r="M2199" t="b">
        <v>0</v>
      </c>
      <c r="N2199" t="inlineStr">
        <is>
          <t>alt</t>
        </is>
      </c>
      <c r="O2199" t="n">
        <v>30</v>
      </c>
      <c r="P2199" t="n">
        <v>0.003906</v>
      </c>
      <c r="Q2199" t="n">
        <v>35</v>
      </c>
      <c r="R2199" t="n">
        <v>0.03662</v>
      </c>
      <c r="S2199">
        <f>IMAGE("https://mitra.stanford.edu/kundaje/oak/projects/neuro-variants/variant_position/credible/roussos_2024/variant_figures/roussos_2024.childhood.GLU/rs7598321_count_position.png",4,220,900)</f>
        <v/>
      </c>
      <c r="T2199">
        <f>IMAGE("https://mitra.stanford.edu/kundaje/oak/projects/neuro-variants/variant_position/credible/roussos_2024/variant_figures/roussos_2024.childhood.GLU/rs7598321_profile_position.png",4,220,900)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0.0001360751859999</v>
      </c>
      <c r="G2200" t="n">
        <v>0.9231090434757466</v>
      </c>
      <c r="H2200" t="n">
        <v>0.0173682944000279</v>
      </c>
      <c r="I2200" t="n">
        <v>0.1560729958145981</v>
      </c>
      <c r="J2200" t="n">
        <v>0.3780151853874128</v>
      </c>
      <c r="K2200" t="n">
        <v>0.0709718927505202</v>
      </c>
      <c r="L2200" t="b">
        <v>0</v>
      </c>
      <c r="M2200" t="b">
        <v>0</v>
      </c>
      <c r="N2200" t="inlineStr">
        <is>
          <t>alt</t>
        </is>
      </c>
      <c r="O2200" t="n">
        <v>55</v>
      </c>
      <c r="P2200" t="n">
        <v>0.004272</v>
      </c>
      <c r="Q2200" t="n">
        <v>45</v>
      </c>
      <c r="R2200" t="n">
        <v>0.11273</v>
      </c>
      <c r="S2200">
        <f>IMAGE("https://mitra.stanford.edu/kundaje/oak/projects/neuro-variants/variant_position/credible/roussos_2024/variant_figures/roussos_2024.childhood.GLU/rs62152284_count_position.png",4,220,900)</f>
        <v/>
      </c>
      <c r="T2200">
        <f>IMAGE("https://mitra.stanford.edu/kundaje/oak/projects/neuro-variants/variant_position/credible/roussos_2024/variant_figures/roussos_2024.childhood.GLU/rs62152284_profile_position.png",4,220,900)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-0.0996856539999999</v>
      </c>
      <c r="G2201" t="n">
        <v>0.0483023262678262</v>
      </c>
      <c r="H2201" t="n">
        <v>0.0232481417882088</v>
      </c>
      <c r="I2201" t="n">
        <v>0.0617572683538989</v>
      </c>
      <c r="J2201" t="n">
        <v>0.1281115106060761</v>
      </c>
      <c r="K2201" t="n">
        <v>0.2142928926076307</v>
      </c>
      <c r="L2201" t="b">
        <v>0</v>
      </c>
      <c r="M2201" t="b">
        <v>0</v>
      </c>
      <c r="N2201" t="inlineStr">
        <is>
          <t>ref</t>
        </is>
      </c>
      <c r="O2201" t="n">
        <v>20</v>
      </c>
      <c r="P2201" t="n">
        <v>0.001705</v>
      </c>
      <c r="Q2201" t="n">
        <v>-100</v>
      </c>
      <c r="R2201" t="n">
        <v>0.1353</v>
      </c>
      <c r="S2201">
        <f>IMAGE("https://mitra.stanford.edu/kundaje/oak/projects/neuro-variants/variant_position/credible/roussos_2024/variant_figures/roussos_2024.childhood.GLU/rs112338729_count_position.png",4,220,900)</f>
        <v/>
      </c>
      <c r="T2201">
        <f>IMAGE("https://mitra.stanford.edu/kundaje/oak/projects/neuro-variants/variant_position/credible/roussos_2024/variant_figures/roussos_2024.childhood.GLU/rs112338729_profile_position.png",4,220,900)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-0.09413584179999999</v>
      </c>
      <c r="G2202" t="n">
        <v>0.0739856612312929</v>
      </c>
      <c r="H2202" t="n">
        <v>0.0256580795069596</v>
      </c>
      <c r="I2202" t="n">
        <v>0.0419168934772965</v>
      </c>
      <c r="J2202" t="n">
        <v>0.1449730598452615</v>
      </c>
      <c r="K2202" t="n">
        <v>0.193433888068142</v>
      </c>
      <c r="L2202" t="b">
        <v>0</v>
      </c>
      <c r="M2202" t="b">
        <v>0</v>
      </c>
      <c r="N2202" t="inlineStr">
        <is>
          <t>ref</t>
        </is>
      </c>
      <c r="O2202" t="n">
        <v>-100</v>
      </c>
      <c r="P2202" t="n">
        <v>0.02505</v>
      </c>
      <c r="Q2202" t="n">
        <v>-85</v>
      </c>
      <c r="R2202" t="n">
        <v>0.1006</v>
      </c>
      <c r="S2202">
        <f>IMAGE("https://mitra.stanford.edu/kundaje/oak/projects/neuro-variants/variant_position/credible/roussos_2024/variant_figures/roussos_2024.childhood.GLU/rs6729836_count_position.png",4,220,900)</f>
        <v/>
      </c>
      <c r="T2202">
        <f>IMAGE("https://mitra.stanford.edu/kundaje/oak/projects/neuro-variants/variant_position/credible/roussos_2024/variant_figures/roussos_2024.childhood.GLU/rs6729836_profile_position.png",4,220,900)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0.0783708856</v>
      </c>
      <c r="G2203" t="n">
        <v>0.0915294107287335</v>
      </c>
      <c r="H2203" t="n">
        <v>0.0137953698362947</v>
      </c>
      <c r="I2203" t="n">
        <v>0.3220712156002492</v>
      </c>
      <c r="J2203" t="n">
        <v>0.0246108358144374</v>
      </c>
      <c r="K2203" t="n">
        <v>0.4606282689460074</v>
      </c>
      <c r="L2203" t="b">
        <v>0</v>
      </c>
      <c r="M2203" t="b">
        <v>0</v>
      </c>
      <c r="N2203" t="inlineStr">
        <is>
          <t>alt</t>
        </is>
      </c>
      <c r="O2203" t="n">
        <v>50</v>
      </c>
      <c r="P2203" t="n">
        <v>0.004246</v>
      </c>
      <c r="Q2203" t="n">
        <v>-80</v>
      </c>
      <c r="R2203" t="n">
        <v>0.06915</v>
      </c>
      <c r="S2203">
        <f>IMAGE("https://mitra.stanford.edu/kundaje/oak/projects/neuro-variants/variant_position/credible/roussos_2024/variant_figures/roussos_2024.childhood.GLU/rs10203500_count_position.png",4,220,900)</f>
        <v/>
      </c>
      <c r="T2203">
        <f>IMAGE("https://mitra.stanford.edu/kundaje/oak/projects/neuro-variants/variant_position/credible/roussos_2024/variant_figures/roussos_2024.childhood.GLU/rs10203500_profile_position.png",4,220,900)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0.102216102</v>
      </c>
      <c r="G2204" t="n">
        <v>0.0425877364033494</v>
      </c>
      <c r="H2204" t="n">
        <v>0.0221751910195221</v>
      </c>
      <c r="I2204" t="n">
        <v>0.06757240155021491</v>
      </c>
      <c r="J2204" t="n">
        <v>0.0037438058248426</v>
      </c>
      <c r="K2204" t="n">
        <v>0.7074326213117478</v>
      </c>
      <c r="L2204" t="b">
        <v>0</v>
      </c>
      <c r="M2204" t="b">
        <v>0</v>
      </c>
      <c r="N2204" t="inlineStr">
        <is>
          <t>alt</t>
        </is>
      </c>
      <c r="O2204" t="n">
        <v>-20</v>
      </c>
      <c r="P2204" t="n">
        <v>9.155e-05</v>
      </c>
      <c r="Q2204" t="n">
        <v>-55</v>
      </c>
      <c r="R2204" t="n">
        <v>0.0526</v>
      </c>
      <c r="S2204">
        <f>IMAGE("https://mitra.stanford.edu/kundaje/oak/projects/neuro-variants/variant_position/credible/roussos_2024/variant_figures/roussos_2024.childhood.GLU/rs12692042_count_position.png",4,220,900)</f>
        <v/>
      </c>
      <c r="T2204">
        <f>IMAGE("https://mitra.stanford.edu/kundaje/oak/projects/neuro-variants/variant_position/credible/roussos_2024/variant_figures/roussos_2024.childhood.GLU/rs12692042_profile_position.png",4,220,900)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0.0033933552</v>
      </c>
      <c r="G2205" t="n">
        <v>0.3205008204474809</v>
      </c>
      <c r="H2205" t="n">
        <v>0.0349570041379187</v>
      </c>
      <c r="I2205" t="n">
        <v>0.0116647631166063</v>
      </c>
      <c r="J2205" t="n">
        <v>0.0395324878692037</v>
      </c>
      <c r="K2205" t="n">
        <v>0.3838025004815016</v>
      </c>
      <c r="L2205" t="b">
        <v>1</v>
      </c>
      <c r="M2205" t="b">
        <v>0</v>
      </c>
      <c r="N2205" t="inlineStr">
        <is>
          <t>alt</t>
        </is>
      </c>
      <c r="O2205" t="n">
        <v>30</v>
      </c>
      <c r="P2205" t="n">
        <v>0.000977</v>
      </c>
      <c r="Q2205" t="n">
        <v>-40</v>
      </c>
      <c r="R2205" t="n">
        <v>0.04248</v>
      </c>
      <c r="S2205">
        <f>IMAGE("https://mitra.stanford.edu/kundaje/oak/projects/neuro-variants/variant_position/credible/roussos_2024/variant_figures/roussos_2024.childhood.GLU/rs17477145_count_position.png",4,220,900)</f>
        <v/>
      </c>
      <c r="T2205">
        <f>IMAGE("https://mitra.stanford.edu/kundaje/oak/projects/neuro-variants/variant_position/credible/roussos_2024/variant_figures/roussos_2024.childhood.GLU/rs17477145_profile_position.png",4,220,900)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-0.148350878</v>
      </c>
      <c r="G2206" t="n">
        <v>0.0186486561762631</v>
      </c>
      <c r="H2206" t="n">
        <v>0.0387733718399036</v>
      </c>
      <c r="I2206" t="n">
        <v>0.0079039168322121</v>
      </c>
      <c r="J2206" t="n">
        <v>0.0422955278312917</v>
      </c>
      <c r="K2206" t="n">
        <v>0.3735885286018645</v>
      </c>
      <c r="L2206" t="b">
        <v>1</v>
      </c>
      <c r="M2206" t="b">
        <v>0</v>
      </c>
      <c r="N2206" t="inlineStr">
        <is>
          <t>ref</t>
        </is>
      </c>
      <c r="O2206" t="n">
        <v>-30</v>
      </c>
      <c r="P2206" t="n">
        <v>0.000702</v>
      </c>
      <c r="Q2206" t="n">
        <v>-55</v>
      </c>
      <c r="R2206" t="n">
        <v>0.0801</v>
      </c>
      <c r="S2206">
        <f>IMAGE("https://mitra.stanford.edu/kundaje/oak/projects/neuro-variants/variant_position/credible/roussos_2024/variant_figures/roussos_2024.childhood.GLU/rs13386580_count_position.png",4,220,900)</f>
        <v/>
      </c>
      <c r="T2206">
        <f>IMAGE("https://mitra.stanford.edu/kundaje/oak/projects/neuro-variants/variant_position/credible/roussos_2024/variant_figures/roussos_2024.childhood.GLU/rs13386580_profile_position.png",4,220,900)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-0.0263743359999999</v>
      </c>
      <c r="G2207" t="n">
        <v>0.3260673319124176</v>
      </c>
      <c r="H2207" t="n">
        <v>0.0169288581177999</v>
      </c>
      <c r="I2207" t="n">
        <v>0.1705875626124182</v>
      </c>
      <c r="J2207" t="n">
        <v>0.0212729351890961</v>
      </c>
      <c r="K2207" t="n">
        <v>0.4885206450835803</v>
      </c>
      <c r="L2207" t="b">
        <v>0</v>
      </c>
      <c r="M2207" t="b">
        <v>0</v>
      </c>
      <c r="N2207" t="inlineStr">
        <is>
          <t>ref</t>
        </is>
      </c>
      <c r="O2207" t="n">
        <v>-80</v>
      </c>
      <c r="P2207" t="n">
        <v>0.0179</v>
      </c>
      <c r="Q2207" t="n">
        <v>-100</v>
      </c>
      <c r="R2207" t="n">
        <v>0.1245</v>
      </c>
      <c r="S2207">
        <f>IMAGE("https://mitra.stanford.edu/kundaje/oak/projects/neuro-variants/variant_position/credible/roussos_2024/variant_figures/roussos_2024.childhood.GLU/rs10208226_count_position.png",4,220,900)</f>
        <v/>
      </c>
      <c r="T2207">
        <f>IMAGE("https://mitra.stanford.edu/kundaje/oak/projects/neuro-variants/variant_position/credible/roussos_2024/variant_figures/roussos_2024.childhood.GLU/rs10208226_profile_position.png",4,220,900)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0.0942867218</v>
      </c>
      <c r="G2208" t="n">
        <v>0.0526339223546392</v>
      </c>
      <c r="H2208" t="n">
        <v>0.0137495494125617</v>
      </c>
      <c r="I2208" t="n">
        <v>0.3126788798037059</v>
      </c>
      <c r="J2208" t="n">
        <v>0.0111860879598627</v>
      </c>
      <c r="K2208" t="n">
        <v>0.5738695286727313</v>
      </c>
      <c r="L2208" t="b">
        <v>0</v>
      </c>
      <c r="M2208" t="b">
        <v>0</v>
      </c>
      <c r="N2208" t="inlineStr">
        <is>
          <t>alt</t>
        </is>
      </c>
      <c r="O2208" t="n">
        <v>-55</v>
      </c>
      <c r="P2208" t="n">
        <v>0.00225</v>
      </c>
      <c r="Q2208" t="n">
        <v>-25</v>
      </c>
      <c r="R2208" t="n">
        <v>0.01611</v>
      </c>
      <c r="S2208">
        <f>IMAGE("https://mitra.stanford.edu/kundaje/oak/projects/neuro-variants/variant_position/credible/roussos_2024/variant_figures/roussos_2024.childhood.GLU/rs1401123_count_position.png",4,220,900)</f>
        <v/>
      </c>
      <c r="T2208">
        <f>IMAGE("https://mitra.stanford.edu/kundaje/oak/projects/neuro-variants/variant_position/credible/roussos_2024/variant_figures/roussos_2024.childhood.GLU/rs1401123_profile_position.png",4,220,900)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-0.106411752</v>
      </c>
      <c r="G2209" t="n">
        <v>0.0441808780922056</v>
      </c>
      <c r="H2209" t="n">
        <v>0.0228950110361714</v>
      </c>
      <c r="I2209" t="n">
        <v>0.0595981848957992</v>
      </c>
      <c r="J2209" t="n">
        <v>0.0338209690213975</v>
      </c>
      <c r="K2209" t="n">
        <v>0.4199160547496774</v>
      </c>
      <c r="L2209" t="b">
        <v>0</v>
      </c>
      <c r="M2209" t="b">
        <v>0</v>
      </c>
      <c r="N2209" t="inlineStr">
        <is>
          <t>ref</t>
        </is>
      </c>
      <c r="O2209" t="n">
        <v>-15</v>
      </c>
      <c r="P2209" t="n">
        <v>0.003052</v>
      </c>
      <c r="Q2209" t="n">
        <v>-95</v>
      </c>
      <c r="R2209" t="n">
        <v>0.07446</v>
      </c>
      <c r="S2209">
        <f>IMAGE("https://mitra.stanford.edu/kundaje/oak/projects/neuro-variants/variant_position/credible/roussos_2024/variant_figures/roussos_2024.childhood.GLU/rs10202846_count_position.png",4,220,900)</f>
        <v/>
      </c>
      <c r="T2209">
        <f>IMAGE("https://mitra.stanford.edu/kundaje/oak/projects/neuro-variants/variant_position/credible/roussos_2024/variant_figures/roussos_2024.childhood.GLU/rs10202846_profile_position.png",4,220,900)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-0.00356697026</v>
      </c>
      <c r="G2210" t="n">
        <v>0.7648484994496555</v>
      </c>
      <c r="H2210" t="n">
        <v>0.008325810796288399</v>
      </c>
      <c r="I2210" t="n">
        <v>0.8313852153076154</v>
      </c>
      <c r="J2210" t="n">
        <v>0.0379335922610155</v>
      </c>
      <c r="K2210" t="n">
        <v>0.3935301789449358</v>
      </c>
      <c r="L2210" t="b">
        <v>0</v>
      </c>
      <c r="M2210" t="b">
        <v>0</v>
      </c>
      <c r="N2210" t="inlineStr">
        <is>
          <t>ref</t>
        </is>
      </c>
      <c r="O2210" t="n">
        <v>80</v>
      </c>
      <c r="P2210" t="n">
        <v>0.00825</v>
      </c>
      <c r="Q2210" t="n">
        <v>55</v>
      </c>
      <c r="R2210" t="n">
        <v>0.01074</v>
      </c>
      <c r="S2210">
        <f>IMAGE("https://mitra.stanford.edu/kundaje/oak/projects/neuro-variants/variant_position/credible/roussos_2024/variant_figures/roussos_2024.childhood.GLU/rs9287360_count_position.png",4,220,900)</f>
        <v/>
      </c>
      <c r="T2210">
        <f>IMAGE("https://mitra.stanford.edu/kundaje/oak/projects/neuro-variants/variant_position/credible/roussos_2024/variant_figures/roussos_2024.childhood.GLU/rs9287360_profile_position.png",4,220,900)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0.0018394619859999</v>
      </c>
      <c r="G2211" t="n">
        <v>0.8128215428789765</v>
      </c>
      <c r="H2211" t="n">
        <v>0.0298533497973139</v>
      </c>
      <c r="I2211" t="n">
        <v>0.021382541230744</v>
      </c>
      <c r="J2211" t="n">
        <v>0.0019450482656308</v>
      </c>
      <c r="K2211" t="n">
        <v>0.7690335387615529</v>
      </c>
      <c r="L2211" t="b">
        <v>0</v>
      </c>
      <c r="M2211" t="b">
        <v>0</v>
      </c>
      <c r="N2211" t="inlineStr">
        <is>
          <t>alt</t>
        </is>
      </c>
      <c r="O2211" t="n">
        <v>-100</v>
      </c>
      <c r="P2211" t="n">
        <v>0.00613</v>
      </c>
      <c r="Q2211" t="n">
        <v>95</v>
      </c>
      <c r="R2211" t="n">
        <v>0.186</v>
      </c>
      <c r="S2211">
        <f>IMAGE("https://mitra.stanford.edu/kundaje/oak/projects/neuro-variants/variant_position/credible/roussos_2024/variant_figures/roussos_2024.childhood.GLU/rs67082009_count_position.png",4,220,900)</f>
        <v/>
      </c>
      <c r="T2211">
        <f>IMAGE("https://mitra.stanford.edu/kundaje/oak/projects/neuro-variants/variant_position/credible/roussos_2024/variant_figures/roussos_2024.childhood.GLU/rs67082009_profile_position.png",4,220,900)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-0.165433646</v>
      </c>
      <c r="G2212" t="n">
        <v>0.0152582276491558</v>
      </c>
      <c r="H2212" t="n">
        <v>0.0257313250212086</v>
      </c>
      <c r="I2212" t="n">
        <v>0.0523042088294805</v>
      </c>
      <c r="J2212" t="n">
        <v>0.013150710334099</v>
      </c>
      <c r="K2212" t="n">
        <v>0.5530252649341391</v>
      </c>
      <c r="L2212" t="b">
        <v>1</v>
      </c>
      <c r="M2212" t="b">
        <v>0</v>
      </c>
      <c r="N2212" t="inlineStr">
        <is>
          <t>ref</t>
        </is>
      </c>
      <c r="O2212" t="n">
        <v>-70</v>
      </c>
      <c r="P2212" t="n">
        <v>0.003998</v>
      </c>
      <c r="Q2212" t="n">
        <v>5</v>
      </c>
      <c r="R2212" t="n">
        <v>0.01111</v>
      </c>
      <c r="S2212">
        <f>IMAGE("https://mitra.stanford.edu/kundaje/oak/projects/neuro-variants/variant_position/credible/roussos_2024/variant_figures/roussos_2024.childhood.GLU/rs72857431_count_position.png",4,220,900)</f>
        <v/>
      </c>
      <c r="T2212">
        <f>IMAGE("https://mitra.stanford.edu/kundaje/oak/projects/neuro-variants/variant_position/credible/roussos_2024/variant_figures/roussos_2024.childhood.GLU/rs72857431_profile_position.png",4,220,900)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0.0362301535999999</v>
      </c>
      <c r="G2213" t="n">
        <v>0.2708805937643009</v>
      </c>
      <c r="H2213" t="n">
        <v>0.0078209702350793</v>
      </c>
      <c r="I2213" t="n">
        <v>0.8851621064456152</v>
      </c>
      <c r="J2213" t="n">
        <v>0.0443106308014051</v>
      </c>
      <c r="K2213" t="n">
        <v>0.3720835628739574</v>
      </c>
      <c r="L2213" t="b">
        <v>0</v>
      </c>
      <c r="M2213" t="b">
        <v>0</v>
      </c>
      <c r="N2213" t="inlineStr">
        <is>
          <t>alt</t>
        </is>
      </c>
      <c r="O2213" t="n">
        <v>-100</v>
      </c>
      <c r="P2213" t="n">
        <v>0.04062</v>
      </c>
      <c r="Q2213" t="n">
        <v>80</v>
      </c>
      <c r="R2213" t="n">
        <v>0.1146</v>
      </c>
      <c r="S2213">
        <f>IMAGE("https://mitra.stanford.edu/kundaje/oak/projects/neuro-variants/variant_position/credible/roussos_2024/variant_figures/roussos_2024.childhood.GLU/rs72857434_count_position.png",4,220,900)</f>
        <v/>
      </c>
      <c r="T2213">
        <f>IMAGE("https://mitra.stanford.edu/kundaje/oak/projects/neuro-variants/variant_position/credible/roussos_2024/variant_figures/roussos_2024.childhood.GLU/rs72857434_profile_position.png",4,220,900)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0.0225821012</v>
      </c>
      <c r="G2214" t="n">
        <v>0.1403131129732229</v>
      </c>
      <c r="H2214" t="n">
        <v>0.0168216399875039</v>
      </c>
      <c r="I2214" t="n">
        <v>0.1755665802341274</v>
      </c>
      <c r="J2214" t="n">
        <v>0.0992283680344503</v>
      </c>
      <c r="K2214" t="n">
        <v>0.2479378848206034</v>
      </c>
      <c r="L2214" t="b">
        <v>0</v>
      </c>
      <c r="M2214" t="b">
        <v>0</v>
      </c>
      <c r="N2214" t="inlineStr">
        <is>
          <t>alt</t>
        </is>
      </c>
      <c r="O2214" t="n">
        <v>-100</v>
      </c>
      <c r="P2214" t="n">
        <v>0.008330000000000001</v>
      </c>
      <c r="Q2214" t="n">
        <v>70</v>
      </c>
      <c r="R2214" t="n">
        <v>0.1526</v>
      </c>
      <c r="S2214">
        <f>IMAGE("https://mitra.stanford.edu/kundaje/oak/projects/neuro-variants/variant_position/credible/roussos_2024/variant_figures/roussos_2024.childhood.GLU/rs6721450_count_position.png",4,220,900)</f>
        <v/>
      </c>
      <c r="T2214">
        <f>IMAGE("https://mitra.stanford.edu/kundaje/oak/projects/neuro-variants/variant_position/credible/roussos_2024/variant_figures/roussos_2024.childhood.GLU/rs6721450_profile_position.png",4,220,900)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0.187989474</v>
      </c>
      <c r="G2215" t="n">
        <v>0.009055937875176801</v>
      </c>
      <c r="H2215" t="n">
        <v>0.0272621681043802</v>
      </c>
      <c r="I2215" t="n">
        <v>0.0309787820113697</v>
      </c>
      <c r="J2215" t="n">
        <v>0.0183131239247117</v>
      </c>
      <c r="K2215" t="n">
        <v>0.5095098344041893</v>
      </c>
      <c r="L2215" t="b">
        <v>1</v>
      </c>
      <c r="M2215" t="b">
        <v>1</v>
      </c>
      <c r="N2215" t="inlineStr">
        <is>
          <t>alt</t>
        </is>
      </c>
      <c r="O2215" t="n">
        <v>30</v>
      </c>
      <c r="P2215" t="n">
        <v>0.00402</v>
      </c>
      <c r="Q2215" t="n">
        <v>30</v>
      </c>
      <c r="R2215" t="n">
        <v>0.05884</v>
      </c>
      <c r="S2215">
        <f>IMAGE("https://mitra.stanford.edu/kundaje/oak/projects/neuro-variants/variant_position/credible/roussos_2024/variant_figures/roussos_2024.childhood.GLU/rs34624969_count_position.png",4,220,900)</f>
        <v/>
      </c>
      <c r="T2215">
        <f>IMAGE("https://mitra.stanford.edu/kundaje/oak/projects/neuro-variants/variant_position/credible/roussos_2024/variant_figures/roussos_2024.childhood.GLU/rs34624969_profile_position.png",4,220,900)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-0.07884211599999991</v>
      </c>
      <c r="G2216" t="n">
        <v>0.0802420391472501</v>
      </c>
      <c r="H2216" t="n">
        <v>0.009284089241229599</v>
      </c>
      <c r="I2216" t="n">
        <v>0.7322288809827118</v>
      </c>
      <c r="J2216" t="n">
        <v>0.027894134978932</v>
      </c>
      <c r="K2216" t="n">
        <v>0.4381280080324858</v>
      </c>
      <c r="L2216" t="b">
        <v>0</v>
      </c>
      <c r="M2216" t="b">
        <v>0</v>
      </c>
      <c r="N2216" t="inlineStr">
        <is>
          <t>ref</t>
        </is>
      </c>
      <c r="O2216" t="n">
        <v>-85</v>
      </c>
      <c r="P2216" t="n">
        <v>0.01046</v>
      </c>
      <c r="Q2216" t="n">
        <v>-80</v>
      </c>
      <c r="R2216" t="n">
        <v>0.078</v>
      </c>
      <c r="S2216">
        <f>IMAGE("https://mitra.stanford.edu/kundaje/oak/projects/neuro-variants/variant_position/credible/roussos_2024/variant_figures/roussos_2024.childhood.GLU/rs4556924_count_position.png",4,220,900)</f>
        <v/>
      </c>
      <c r="T2216">
        <f>IMAGE("https://mitra.stanford.edu/kundaje/oak/projects/neuro-variants/variant_position/credible/roussos_2024/variant_figures/roussos_2024.childhood.GLU/rs4556924_profile_position.png",4,220,900)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0.0265947416</v>
      </c>
      <c r="G2217" t="n">
        <v>0.3767101453646191</v>
      </c>
      <c r="H2217" t="n">
        <v>0.0177879725091267</v>
      </c>
      <c r="I2217" t="n">
        <v>0.1447320238566484</v>
      </c>
      <c r="J2217" t="n">
        <v>0.0121400682003152</v>
      </c>
      <c r="K2217" t="n">
        <v>0.5574727638477368</v>
      </c>
      <c r="L2217" t="b">
        <v>0</v>
      </c>
      <c r="M2217" t="b">
        <v>0</v>
      </c>
      <c r="N2217" t="inlineStr">
        <is>
          <t>alt</t>
        </is>
      </c>
      <c r="O2217" t="n">
        <v>-70</v>
      </c>
      <c r="P2217" t="n">
        <v>0.00475</v>
      </c>
      <c r="Q2217" t="n">
        <v>45</v>
      </c>
      <c r="R2217" t="n">
        <v>0.05795</v>
      </c>
      <c r="S2217">
        <f>IMAGE("https://mitra.stanford.edu/kundaje/oak/projects/neuro-variants/variant_position/credible/roussos_2024/variant_figures/roussos_2024.childhood.GLU/rs7559983_count_position.png",4,220,900)</f>
        <v/>
      </c>
      <c r="T2217">
        <f>IMAGE("https://mitra.stanford.edu/kundaje/oak/projects/neuro-variants/variant_position/credible/roussos_2024/variant_figures/roussos_2024.childhood.GLU/rs7559983_profile_position.png",4,220,900)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-0.1922633</v>
      </c>
      <c r="G2218" t="n">
        <v>0.0085213818584333</v>
      </c>
      <c r="H2218" t="n">
        <v>0.0379779340844957</v>
      </c>
      <c r="I2218" t="n">
        <v>0.0091939018638896</v>
      </c>
      <c r="J2218" t="n">
        <v>0.0154254277972945</v>
      </c>
      <c r="K2218" t="n">
        <v>0.528970253133063</v>
      </c>
      <c r="L2218" t="b">
        <v>1</v>
      </c>
      <c r="M2218" t="b">
        <v>1</v>
      </c>
      <c r="N2218" t="inlineStr">
        <is>
          <t>ref</t>
        </is>
      </c>
      <c r="O2218" t="n">
        <v>100</v>
      </c>
      <c r="P2218" t="n">
        <v>0.004135</v>
      </c>
      <c r="Q2218" t="n">
        <v>75</v>
      </c>
      <c r="R2218" t="n">
        <v>0.0847</v>
      </c>
      <c r="S2218">
        <f>IMAGE("https://mitra.stanford.edu/kundaje/oak/projects/neuro-variants/variant_position/credible/roussos_2024/variant_figures/roussos_2024.childhood.GLU/rs3934919_count_position.png",4,220,900)</f>
        <v/>
      </c>
      <c r="T2218">
        <f>IMAGE("https://mitra.stanford.edu/kundaje/oak/projects/neuro-variants/variant_position/credible/roussos_2024/variant_figures/roussos_2024.childhood.GLU/rs3934919_profile_position.png",4,220,900)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0.131790153</v>
      </c>
      <c r="G2219" t="n">
        <v>0.0237510210287685</v>
      </c>
      <c r="H2219" t="n">
        <v>0.0227778151245219</v>
      </c>
      <c r="I2219" t="n">
        <v>0.06354686071223049</v>
      </c>
      <c r="J2219" t="n">
        <v>0.0081181039900274</v>
      </c>
      <c r="K2219" t="n">
        <v>0.6373394293702819</v>
      </c>
      <c r="L2219" t="b">
        <v>0</v>
      </c>
      <c r="M2219" t="b">
        <v>0</v>
      </c>
      <c r="N2219" t="inlineStr">
        <is>
          <t>alt</t>
        </is>
      </c>
      <c r="O2219" t="n">
        <v>-80</v>
      </c>
      <c r="P2219" t="n">
        <v>0.005272</v>
      </c>
      <c r="Q2219" t="n">
        <v>-30</v>
      </c>
      <c r="R2219" t="n">
        <v>0.06859999999999999</v>
      </c>
      <c r="S2219">
        <f>IMAGE("https://mitra.stanford.edu/kundaje/oak/projects/neuro-variants/variant_position/credible/roussos_2024/variant_figures/roussos_2024.childhood.GLU/rs13022139_count_position.png",4,220,900)</f>
        <v/>
      </c>
      <c r="T2219">
        <f>IMAGE("https://mitra.stanford.edu/kundaje/oak/projects/neuro-variants/variant_position/credible/roussos_2024/variant_figures/roussos_2024.childhood.GLU/rs13022139_profile_position.png",4,220,900)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-0.041439721</v>
      </c>
      <c r="G2220" t="n">
        <v>0.2469803901511832</v>
      </c>
      <c r="H2220" t="n">
        <v>0.0101942646714263</v>
      </c>
      <c r="I2220" t="n">
        <v>0.6429248722743003</v>
      </c>
      <c r="J2220" t="n">
        <v>0.0058670815004069</v>
      </c>
      <c r="K2220" t="n">
        <v>0.656034515431985</v>
      </c>
      <c r="L2220" t="b">
        <v>0</v>
      </c>
      <c r="M2220" t="b">
        <v>0</v>
      </c>
      <c r="N2220" t="inlineStr">
        <is>
          <t>ref</t>
        </is>
      </c>
      <c r="O2220" t="n">
        <v>-90</v>
      </c>
      <c r="P2220" t="n">
        <v>0.009605000000000001</v>
      </c>
      <c r="Q2220" t="n">
        <v>80</v>
      </c>
      <c r="R2220" t="n">
        <v>0.1182</v>
      </c>
      <c r="S2220">
        <f>IMAGE("https://mitra.stanford.edu/kundaje/oak/projects/neuro-variants/variant_position/credible/roussos_2024/variant_figures/roussos_2024.childhood.GLU/rs2254296_count_position.png",4,220,900)</f>
        <v/>
      </c>
      <c r="T2220">
        <f>IMAGE("https://mitra.stanford.edu/kundaje/oak/projects/neuro-variants/variant_position/credible/roussos_2024/variant_figures/roussos_2024.childhood.GLU/rs2254296_profile_position.png",4,220,900)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0.004865728188</v>
      </c>
      <c r="G2221" t="n">
        <v>0.7969642311397452</v>
      </c>
      <c r="H2221" t="n">
        <v>0.0265324298038652</v>
      </c>
      <c r="I2221" t="n">
        <v>0.0350283198747595</v>
      </c>
      <c r="J2221" t="n">
        <v>0.004530891034028</v>
      </c>
      <c r="K2221" t="n">
        <v>0.7028615549532561</v>
      </c>
      <c r="L2221" t="b">
        <v>0</v>
      </c>
      <c r="M2221" t="b">
        <v>0</v>
      </c>
      <c r="N2221" t="inlineStr">
        <is>
          <t>alt</t>
        </is>
      </c>
      <c r="O2221" t="n">
        <v>100</v>
      </c>
      <c r="P2221" t="n">
        <v>0.0152</v>
      </c>
      <c r="Q2221" t="n">
        <v>-100</v>
      </c>
      <c r="R2221" t="n">
        <v>0.1824</v>
      </c>
      <c r="S2221">
        <f>IMAGE("https://mitra.stanford.edu/kundaje/oak/projects/neuro-variants/variant_position/credible/roussos_2024/variant_figures/roussos_2024.childhood.GLU/rs1451083_count_position.png",4,220,900)</f>
        <v/>
      </c>
      <c r="T2221">
        <f>IMAGE("https://mitra.stanford.edu/kundaje/oak/projects/neuro-variants/variant_position/credible/roussos_2024/variant_figures/roussos_2024.childhood.GLU/rs1451083_profile_position.png",4,220,900)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-0.068202338</v>
      </c>
      <c r="G2222" t="n">
        <v>0.1237043888777065</v>
      </c>
      <c r="H2222" t="n">
        <v>0.0165819546293955</v>
      </c>
      <c r="I2222" t="n">
        <v>0.1917077958800686</v>
      </c>
      <c r="J2222" t="n">
        <v>0.0111932994735594</v>
      </c>
      <c r="K2222" t="n">
        <v>0.5760448039570448</v>
      </c>
      <c r="L2222" t="b">
        <v>0</v>
      </c>
      <c r="M2222" t="b">
        <v>0</v>
      </c>
      <c r="N2222" t="inlineStr">
        <is>
          <t>ref</t>
        </is>
      </c>
      <c r="O2222" t="n">
        <v>45</v>
      </c>
      <c r="P2222" t="n">
        <v>0.004868</v>
      </c>
      <c r="Q2222" t="n">
        <v>-80</v>
      </c>
      <c r="R2222" t="n">
        <v>0.09644</v>
      </c>
      <c r="S2222">
        <f>IMAGE("https://mitra.stanford.edu/kundaje/oak/projects/neuro-variants/variant_position/credible/roussos_2024/variant_figures/roussos_2024.childhood.GLU/rs6743215_count_position.png",4,220,900)</f>
        <v/>
      </c>
      <c r="T2222">
        <f>IMAGE("https://mitra.stanford.edu/kundaje/oak/projects/neuro-variants/variant_position/credible/roussos_2024/variant_figures/roussos_2024.childhood.GLU/rs6743215_profile_position.png",4,220,900)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-0.2540583159999999</v>
      </c>
      <c r="G2223" t="n">
        <v>0.0036716628993608</v>
      </c>
      <c r="H2223" t="n">
        <v>0.0348334948115401</v>
      </c>
      <c r="I2223" t="n">
        <v>0.0119190326542403</v>
      </c>
      <c r="J2223" t="n">
        <v>0.0162815374947201</v>
      </c>
      <c r="K2223" t="n">
        <v>0.5168591046641891</v>
      </c>
      <c r="L2223" t="b">
        <v>1</v>
      </c>
      <c r="M2223" t="b">
        <v>1</v>
      </c>
      <c r="N2223" t="inlineStr">
        <is>
          <t>ref</t>
        </is>
      </c>
      <c r="O2223" t="n">
        <v>15</v>
      </c>
      <c r="P2223" t="n">
        <v>0.0006638</v>
      </c>
      <c r="Q2223" t="n">
        <v>-5</v>
      </c>
      <c r="R2223" t="n">
        <v>0.002075</v>
      </c>
      <c r="S2223">
        <f>IMAGE("https://mitra.stanford.edu/kundaje/oak/projects/neuro-variants/variant_position/credible/roussos_2024/variant_figures/roussos_2024.childhood.GLU/rs61064806_count_position.png",4,220,900)</f>
        <v/>
      </c>
      <c r="T2223">
        <f>IMAGE("https://mitra.stanford.edu/kundaje/oak/projects/neuro-variants/variant_position/credible/roussos_2024/variant_figures/roussos_2024.childhood.GLU/rs61064806_profile_position.png",4,220,900)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-0.00988555986</v>
      </c>
      <c r="G2224" t="n">
        <v>0.6694686940739304</v>
      </c>
      <c r="H2224" t="n">
        <v>0.0235473533006781</v>
      </c>
      <c r="I2224" t="n">
        <v>0.054844841870908</v>
      </c>
      <c r="J2224" t="n">
        <v>0.0014227286307395</v>
      </c>
      <c r="K2224" t="n">
        <v>0.8178985395722498</v>
      </c>
      <c r="L2224" t="b">
        <v>0</v>
      </c>
      <c r="M2224" t="b">
        <v>0</v>
      </c>
      <c r="N2224" t="inlineStr">
        <is>
          <t>ref</t>
        </is>
      </c>
      <c r="O2224" t="n">
        <v>95</v>
      </c>
      <c r="P2224" t="n">
        <v>0.008540000000000001</v>
      </c>
      <c r="Q2224" t="n">
        <v>100</v>
      </c>
      <c r="R2224" t="n">
        <v>0.1414</v>
      </c>
      <c r="S2224">
        <f>IMAGE("https://mitra.stanford.edu/kundaje/oak/projects/neuro-variants/variant_position/credible/roussos_2024/variant_figures/roussos_2024.childhood.GLU/rs4664536_count_position.png",4,220,900)</f>
        <v/>
      </c>
      <c r="T2224">
        <f>IMAGE("https://mitra.stanford.edu/kundaje/oak/projects/neuro-variants/variant_position/credible/roussos_2024/variant_figures/roussos_2024.childhood.GLU/rs4664536_profile_position.png",4,220,900)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-0.000148701526</v>
      </c>
      <c r="G2225" t="n">
        <v>0.8400727002293772</v>
      </c>
      <c r="H2225" t="n">
        <v>0.0163454350734717</v>
      </c>
      <c r="I2225" t="n">
        <v>0.1986556757338555</v>
      </c>
      <c r="J2225" t="n">
        <v>0.4354054416021923</v>
      </c>
      <c r="K2225" t="n">
        <v>0.0557614793679109</v>
      </c>
      <c r="L2225" t="b">
        <v>0</v>
      </c>
      <c r="M2225" t="b">
        <v>0</v>
      </c>
      <c r="N2225" t="inlineStr">
        <is>
          <t>ref</t>
        </is>
      </c>
      <c r="O2225" t="n">
        <v>30</v>
      </c>
      <c r="P2225" t="n">
        <v>0.0476</v>
      </c>
      <c r="Q2225" t="n">
        <v>-95</v>
      </c>
      <c r="R2225" t="n">
        <v>0.01678</v>
      </c>
      <c r="S2225">
        <f>IMAGE("https://mitra.stanford.edu/kundaje/oak/projects/neuro-variants/variant_position/credible/roussos_2024/variant_figures/roussos_2024.childhood.GLU/rs191529620_count_position.png",4,220,900)</f>
        <v/>
      </c>
      <c r="T2225">
        <f>IMAGE("https://mitra.stanford.edu/kundaje/oak/projects/neuro-variants/variant_position/credible/roussos_2024/variant_figures/roussos_2024.childhood.GLU/rs191529620_profile_position.png",4,220,900)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-0.0571046745999999</v>
      </c>
      <c r="G2226" t="n">
        <v>0.1430846024063864</v>
      </c>
      <c r="H2226" t="n">
        <v>0.0066684577099137</v>
      </c>
      <c r="I2226" t="n">
        <v>0.962745441672853</v>
      </c>
      <c r="J2226" t="n">
        <v>0.1189487673462659</v>
      </c>
      <c r="K2226" t="n">
        <v>0.2202987273466672</v>
      </c>
      <c r="L2226" t="b">
        <v>0</v>
      </c>
      <c r="M2226" t="b">
        <v>0</v>
      </c>
      <c r="N2226" t="inlineStr">
        <is>
          <t>ref</t>
        </is>
      </c>
      <c r="O2226" t="n">
        <v>60</v>
      </c>
      <c r="P2226" t="n">
        <v>0.03723</v>
      </c>
      <c r="Q2226" t="n">
        <v>-95</v>
      </c>
      <c r="R2226" t="n">
        <v>0.0736</v>
      </c>
      <c r="S2226">
        <f>IMAGE("https://mitra.stanford.edu/kundaje/oak/projects/neuro-variants/variant_position/credible/roussos_2024/variant_figures/roussos_2024.childhood.GLU/rs3963509_count_position.png",4,220,900)</f>
        <v/>
      </c>
      <c r="T2226">
        <f>IMAGE("https://mitra.stanford.edu/kundaje/oak/projects/neuro-variants/variant_position/credible/roussos_2024/variant_figures/roussos_2024.childhood.GLU/rs3963509_profile_position.png",4,220,900)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0.0170778336</v>
      </c>
      <c r="G2227" t="n">
        <v>0.5080209495909617</v>
      </c>
      <c r="H2227" t="n">
        <v>0.034610365878848</v>
      </c>
      <c r="I2227" t="n">
        <v>0.0117523423815948</v>
      </c>
      <c r="J2227" t="n">
        <v>0.1206795306334799</v>
      </c>
      <c r="K2227" t="n">
        <v>0.2325876838160064</v>
      </c>
      <c r="L2227" t="b">
        <v>1</v>
      </c>
      <c r="M2227" t="b">
        <v>0</v>
      </c>
      <c r="N2227" t="inlineStr">
        <is>
          <t>alt</t>
        </is>
      </c>
      <c r="O2227" t="n">
        <v>100</v>
      </c>
      <c r="P2227" t="n">
        <v>0.00988</v>
      </c>
      <c r="Q2227" t="n">
        <v>-75</v>
      </c>
      <c r="R2227" t="n">
        <v>0.3896</v>
      </c>
      <c r="S2227">
        <f>IMAGE("https://mitra.stanford.edu/kundaje/oak/projects/neuro-variants/variant_position/credible/roussos_2024/variant_figures/roussos_2024.childhood.GLU/rs62177360_count_position.png",4,220,900)</f>
        <v/>
      </c>
      <c r="T2227">
        <f>IMAGE("https://mitra.stanford.edu/kundaje/oak/projects/neuro-variants/variant_position/credible/roussos_2024/variant_figures/roussos_2024.childhood.GLU/rs62177360_profile_position.png",4,220,900)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0.035198247</v>
      </c>
      <c r="G2228" t="n">
        <v>0.2785066965647604</v>
      </c>
      <c r="H2228" t="n">
        <v>0.0242954019538123</v>
      </c>
      <c r="I2228" t="n">
        <v>0.0493962971549158</v>
      </c>
      <c r="J2228" t="n">
        <v>0.2491114384909392</v>
      </c>
      <c r="K2228" t="n">
        <v>0.1192658248912657</v>
      </c>
      <c r="L2228" t="b">
        <v>0</v>
      </c>
      <c r="M2228" t="b">
        <v>0</v>
      </c>
      <c r="N2228" t="inlineStr">
        <is>
          <t>alt</t>
        </is>
      </c>
      <c r="O2228" t="n">
        <v>-20</v>
      </c>
      <c r="P2228" t="n">
        <v>0.004242</v>
      </c>
      <c r="Q2228" t="n">
        <v>80</v>
      </c>
      <c r="R2228" t="n">
        <v>0.1635</v>
      </c>
      <c r="S2228">
        <f>IMAGE("https://mitra.stanford.edu/kundaje/oak/projects/neuro-variants/variant_position/credible/roussos_2024/variant_figures/roussos_2024.childhood.GLU/rs6732917_count_position.png",4,220,900)</f>
        <v/>
      </c>
      <c r="T2228">
        <f>IMAGE("https://mitra.stanford.edu/kundaje/oak/projects/neuro-variants/variant_position/credible/roussos_2024/variant_figures/roussos_2024.childhood.GLU/rs6732917_profile_position.png",4,220,900)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0.0178103208</v>
      </c>
      <c r="G2229" t="n">
        <v>0.4900678224481468</v>
      </c>
      <c r="H2229" t="n">
        <v>0.0205413207833965</v>
      </c>
      <c r="I2229" t="n">
        <v>0.09170308120599149</v>
      </c>
      <c r="J2229" t="n">
        <v>0.0018348151276952</v>
      </c>
      <c r="K2229" t="n">
        <v>0.772397730362208</v>
      </c>
      <c r="L2229" t="b">
        <v>0</v>
      </c>
      <c r="M2229" t="b">
        <v>0</v>
      </c>
      <c r="N2229" t="inlineStr">
        <is>
          <t>alt</t>
        </is>
      </c>
      <c r="O2229" t="n">
        <v>0</v>
      </c>
      <c r="P2229" t="n">
        <v>0</v>
      </c>
      <c r="Q2229" t="n">
        <v>-85</v>
      </c>
      <c r="R2229" t="n">
        <v>0.04584</v>
      </c>
      <c r="S2229">
        <f>IMAGE("https://mitra.stanford.edu/kundaje/oak/projects/neuro-variants/variant_position/credible/roussos_2024/variant_figures/roussos_2024.childhood.GLU/rs72865150_count_position.png",4,220,900)</f>
        <v/>
      </c>
      <c r="T2229">
        <f>IMAGE("https://mitra.stanford.edu/kundaje/oak/projects/neuro-variants/variant_position/credible/roussos_2024/variant_figures/roussos_2024.childhood.GLU/rs72865150_profile_position.png",4,220,900)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0.08179428499999999</v>
      </c>
      <c r="G2230" t="n">
        <v>0.07715581126806691</v>
      </c>
      <c r="H2230" t="n">
        <v>0.0319167604531221</v>
      </c>
      <c r="I2230" t="n">
        <v>0.0168226294524036</v>
      </c>
      <c r="J2230" t="n">
        <v>0.0328329916449462</v>
      </c>
      <c r="K2230" t="n">
        <v>0.4354138857491968</v>
      </c>
      <c r="L2230" t="b">
        <v>1</v>
      </c>
      <c r="M2230" t="b">
        <v>0</v>
      </c>
      <c r="N2230" t="inlineStr">
        <is>
          <t>alt</t>
        </is>
      </c>
      <c r="O2230" t="n">
        <v>-10</v>
      </c>
      <c r="P2230" t="n">
        <v>0.007423</v>
      </c>
      <c r="Q2230" t="n">
        <v>-25</v>
      </c>
      <c r="R2230" t="n">
        <v>0.03516</v>
      </c>
      <c r="S2230">
        <f>IMAGE("https://mitra.stanford.edu/kundaje/oak/projects/neuro-variants/variant_position/credible/roussos_2024/variant_figures/roussos_2024.childhood.GLU/rs34849522_count_position.png",4,220,900)</f>
        <v/>
      </c>
      <c r="T2230">
        <f>IMAGE("https://mitra.stanford.edu/kundaje/oak/projects/neuro-variants/variant_position/credible/roussos_2024/variant_figures/roussos_2024.childhood.GLU/rs34849522_profile_position.png",4,220,900)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-0.00469244824</v>
      </c>
      <c r="G2231" t="n">
        <v>0.703146174399096</v>
      </c>
      <c r="H2231" t="n">
        <v>0.0058590767157237</v>
      </c>
      <c r="I2231" t="n">
        <v>0.9887198575240156</v>
      </c>
      <c r="J2231" t="n">
        <v>0.0010858479194782</v>
      </c>
      <c r="K2231" t="n">
        <v>0.82326524117584</v>
      </c>
      <c r="L2231" t="b">
        <v>0</v>
      </c>
      <c r="M2231" t="b">
        <v>0</v>
      </c>
      <c r="N2231" t="inlineStr">
        <is>
          <t>ref</t>
        </is>
      </c>
      <c r="O2231" t="n">
        <v>-45</v>
      </c>
      <c r="P2231" t="n">
        <v>0.001907</v>
      </c>
      <c r="Q2231" t="n">
        <v>35</v>
      </c>
      <c r="R2231" t="n">
        <v>0.0487</v>
      </c>
      <c r="S2231">
        <f>IMAGE("https://mitra.stanford.edu/kundaje/oak/projects/neuro-variants/variant_position/credible/roussos_2024/variant_figures/roussos_2024.childhood.GLU/rs62177111_count_position.png",4,220,900)</f>
        <v/>
      </c>
      <c r="T2231">
        <f>IMAGE("https://mitra.stanford.edu/kundaje/oak/projects/neuro-variants/variant_position/credible/roussos_2024/variant_figures/roussos_2024.childhood.GLU/rs62177111_profile_position.png",4,220,900)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0.1309235113999999</v>
      </c>
      <c r="G2232" t="n">
        <v>0.0274095276223307</v>
      </c>
      <c r="H2232" t="n">
        <v>0.0173103205302765</v>
      </c>
      <c r="I2232" t="n">
        <v>0.167638690459898</v>
      </c>
      <c r="J2232" t="n">
        <v>0.09924176084560141</v>
      </c>
      <c r="K2232" t="n">
        <v>0.2524536849603827</v>
      </c>
      <c r="L2232" t="b">
        <v>0</v>
      </c>
      <c r="M2232" t="b">
        <v>0</v>
      </c>
      <c r="N2232" t="inlineStr">
        <is>
          <t>alt</t>
        </is>
      </c>
      <c r="O2232" t="n">
        <v>95</v>
      </c>
      <c r="P2232" t="n">
        <v>0.02097</v>
      </c>
      <c r="Q2232" t="n">
        <v>0</v>
      </c>
      <c r="R2232" t="n">
        <v>0</v>
      </c>
      <c r="S2232">
        <f>IMAGE("https://mitra.stanford.edu/kundaje/oak/projects/neuro-variants/variant_position/credible/roussos_2024/variant_figures/roussos_2024.childhood.GLU/rs13019836_count_position.png",4,220,900)</f>
        <v/>
      </c>
      <c r="T2232">
        <f>IMAGE("https://mitra.stanford.edu/kundaje/oak/projects/neuro-variants/variant_position/credible/roussos_2024/variant_figures/roussos_2024.childhood.GLU/rs13019836_profile_position.png",4,220,900)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0.02289163908</v>
      </c>
      <c r="G2233" t="n">
        <v>0.4267421350383707</v>
      </c>
      <c r="H2233" t="n">
        <v>0.0259568763643036</v>
      </c>
      <c r="I2233" t="n">
        <v>0.0384082430417587</v>
      </c>
      <c r="J2233" t="n">
        <v>0.0174024127664396</v>
      </c>
      <c r="K2233" t="n">
        <v>0.5152523375810588</v>
      </c>
      <c r="L2233" t="b">
        <v>0</v>
      </c>
      <c r="M2233" t="b">
        <v>0</v>
      </c>
      <c r="N2233" t="inlineStr">
        <is>
          <t>alt</t>
        </is>
      </c>
      <c r="O2233" t="n">
        <v>-10</v>
      </c>
      <c r="P2233" t="n">
        <v>0.0004501</v>
      </c>
      <c r="Q2233" t="n">
        <v>0</v>
      </c>
      <c r="R2233" t="n">
        <v>0</v>
      </c>
      <c r="S2233">
        <f>IMAGE("https://mitra.stanford.edu/kundaje/oak/projects/neuro-variants/variant_position/credible/roussos_2024/variant_figures/roussos_2024.childhood.GLU/rs17643843_count_position.png",4,220,900)</f>
        <v/>
      </c>
      <c r="T2233">
        <f>IMAGE("https://mitra.stanford.edu/kundaje/oak/projects/neuro-variants/variant_position/credible/roussos_2024/variant_figures/roussos_2024.childhood.GLU/rs17643843_profile_position.png",4,220,900)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-0.0219139298</v>
      </c>
      <c r="G2234" t="n">
        <v>0.4469339261398127</v>
      </c>
      <c r="H2234" t="n">
        <v>0.0119585460656933</v>
      </c>
      <c r="I2234" t="n">
        <v>0.4606181006501252</v>
      </c>
      <c r="J2234" t="n">
        <v>0.008053200366756901</v>
      </c>
      <c r="K2234" t="n">
        <v>0.6314221211564103</v>
      </c>
      <c r="L2234" t="b">
        <v>0</v>
      </c>
      <c r="M2234" t="b">
        <v>0</v>
      </c>
      <c r="N2234" t="inlineStr">
        <is>
          <t>ref</t>
        </is>
      </c>
      <c r="O2234" t="n">
        <v>-5</v>
      </c>
      <c r="P2234" t="n">
        <v>0.000763</v>
      </c>
      <c r="Q2234" t="n">
        <v>100</v>
      </c>
      <c r="R2234" t="n">
        <v>0.1843</v>
      </c>
      <c r="S2234">
        <f>IMAGE("https://mitra.stanford.edu/kundaje/oak/projects/neuro-variants/variant_position/credible/roussos_2024/variant_figures/roussos_2024.childhood.GLU/rs12986694_count_position.png",4,220,900)</f>
        <v/>
      </c>
      <c r="T2234">
        <f>IMAGE("https://mitra.stanford.edu/kundaje/oak/projects/neuro-variants/variant_position/credible/roussos_2024/variant_figures/roussos_2024.childhood.GLU/rs12986694_profile_position.png",4,220,900)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0.0072198693999999</v>
      </c>
      <c r="G2235" t="n">
        <v>0.6241185265397223</v>
      </c>
      <c r="H2235" t="n">
        <v>0.0104329297526213</v>
      </c>
      <c r="I2235" t="n">
        <v>0.6111643480832909</v>
      </c>
      <c r="J2235" t="n">
        <v>0.0025600873623372</v>
      </c>
      <c r="K2235" t="n">
        <v>0.7449554076624809</v>
      </c>
      <c r="L2235" t="b">
        <v>0</v>
      </c>
      <c r="M2235" t="b">
        <v>0</v>
      </c>
      <c r="N2235" t="inlineStr">
        <is>
          <t>alt</t>
        </is>
      </c>
      <c r="O2235" t="n">
        <v>90</v>
      </c>
      <c r="P2235" t="n">
        <v>0.02039</v>
      </c>
      <c r="Q2235" t="n">
        <v>15</v>
      </c>
      <c r="R2235" t="n">
        <v>0.0282</v>
      </c>
      <c r="S2235">
        <f>IMAGE("https://mitra.stanford.edu/kundaje/oak/projects/neuro-variants/variant_position/credible/roussos_2024/variant_figures/roussos_2024.childhood.GLU/rs36078004_count_position.png",4,220,900)</f>
        <v/>
      </c>
      <c r="T2235">
        <f>IMAGE("https://mitra.stanford.edu/kundaje/oak/projects/neuro-variants/variant_position/credible/roussos_2024/variant_figures/roussos_2024.childhood.GLU/rs36078004_profile_position.png",4,220,900)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0.01275279432</v>
      </c>
      <c r="G2236" t="n">
        <v>0.5734430716897189</v>
      </c>
      <c r="H2236" t="n">
        <v>0.0156544586161834</v>
      </c>
      <c r="I2236" t="n">
        <v>0.2175443353310046</v>
      </c>
      <c r="J2236" t="n">
        <v>0.1979416279477062</v>
      </c>
      <c r="K2236" t="n">
        <v>0.1498831099963243</v>
      </c>
      <c r="L2236" t="b">
        <v>0</v>
      </c>
      <c r="M2236" t="b">
        <v>0</v>
      </c>
      <c r="N2236" t="inlineStr">
        <is>
          <t>alt</t>
        </is>
      </c>
      <c r="O2236" t="n">
        <v>90</v>
      </c>
      <c r="P2236" t="n">
        <v>0.0678</v>
      </c>
      <c r="Q2236" t="n">
        <v>90</v>
      </c>
      <c r="R2236" t="n">
        <v>0.3855</v>
      </c>
      <c r="S2236">
        <f>IMAGE("https://mitra.stanford.edu/kundaje/oak/projects/neuro-variants/variant_position/credible/roussos_2024/variant_figures/roussos_2024.childhood.GLU/rs67625651_count_position.png",4,220,900)</f>
        <v/>
      </c>
      <c r="T2236">
        <f>IMAGE("https://mitra.stanford.edu/kundaje/oak/projects/neuro-variants/variant_position/credible/roussos_2024/variant_figures/roussos_2024.childhood.GLU/rs67625651_profile_position.png",4,220,900)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0.1262340059999999</v>
      </c>
      <c r="G2237" t="n">
        <v>0.0275509268012746</v>
      </c>
      <c r="H2237" t="n">
        <v>0.0206542068223298</v>
      </c>
      <c r="I2237" t="n">
        <v>0.0922484985445894</v>
      </c>
      <c r="J2237" t="n">
        <v>0.0206146270102094</v>
      </c>
      <c r="K2237" t="n">
        <v>0.5015433972587011</v>
      </c>
      <c r="L2237" t="b">
        <v>0</v>
      </c>
      <c r="M2237" t="b">
        <v>0</v>
      </c>
      <c r="N2237" t="inlineStr">
        <is>
          <t>alt</t>
        </is>
      </c>
      <c r="O2237" t="n">
        <v>80</v>
      </c>
      <c r="P2237" t="n">
        <v>0.01886</v>
      </c>
      <c r="Q2237" t="n">
        <v>35</v>
      </c>
      <c r="R2237" t="n">
        <v>0.144</v>
      </c>
      <c r="S2237">
        <f>IMAGE("https://mitra.stanford.edu/kundaje/oak/projects/neuro-variants/variant_position/credible/roussos_2024/variant_figures/roussos_2024.childhood.GLU/rs12995353_count_position.png",4,220,900)</f>
        <v/>
      </c>
      <c r="T2237">
        <f>IMAGE("https://mitra.stanford.edu/kundaje/oak/projects/neuro-variants/variant_position/credible/roussos_2024/variant_figures/roussos_2024.childhood.GLU/rs12995353_profile_position.png",4,220,900)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0.1490785834</v>
      </c>
      <c r="G2238" t="n">
        <v>0.0226718177259745</v>
      </c>
      <c r="H2238" t="n">
        <v>0.0244693648624667</v>
      </c>
      <c r="I2238" t="n">
        <v>0.0643817095104689</v>
      </c>
      <c r="J2238" t="n">
        <v>0.0301760639558242</v>
      </c>
      <c r="K2238" t="n">
        <v>0.4268115271963105</v>
      </c>
      <c r="L2238" t="b">
        <v>0</v>
      </c>
      <c r="M2238" t="b">
        <v>0</v>
      </c>
      <c r="N2238" t="inlineStr">
        <is>
          <t>alt</t>
        </is>
      </c>
      <c r="O2238" t="n">
        <v>20</v>
      </c>
      <c r="P2238" t="n">
        <v>0.001465</v>
      </c>
      <c r="Q2238" t="n">
        <v>75</v>
      </c>
      <c r="R2238" t="n">
        <v>0.1506</v>
      </c>
      <c r="S2238">
        <f>IMAGE("https://mitra.stanford.edu/kundaje/oak/projects/neuro-variants/variant_position/credible/roussos_2024/variant_figures/roussos_2024.childhood.GLU/rs62174916_count_position.png",4,220,900)</f>
        <v/>
      </c>
      <c r="T2238">
        <f>IMAGE("https://mitra.stanford.edu/kundaje/oak/projects/neuro-variants/variant_position/credible/roussos_2024/variant_figures/roussos_2024.childhood.GLU/rs62174916_profile_position.png",4,220,900)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-0.013329041752</v>
      </c>
      <c r="G2239" t="n">
        <v>0.6234473541457247</v>
      </c>
      <c r="H2239" t="n">
        <v>0.023264733356477</v>
      </c>
      <c r="I2239" t="n">
        <v>0.0595505180152593</v>
      </c>
      <c r="J2239" t="n">
        <v>0.0001823482749028</v>
      </c>
      <c r="K2239" t="n">
        <v>0.9269070688918304</v>
      </c>
      <c r="L2239" t="b">
        <v>0</v>
      </c>
      <c r="M2239" t="b">
        <v>0</v>
      </c>
      <c r="N2239" t="inlineStr">
        <is>
          <t>ref</t>
        </is>
      </c>
      <c r="O2239" t="n">
        <v>0</v>
      </c>
      <c r="P2239" t="n">
        <v>0</v>
      </c>
      <c r="Q2239" t="n">
        <v>100</v>
      </c>
      <c r="R2239" t="n">
        <v>0.03824</v>
      </c>
      <c r="S2239">
        <f>IMAGE("https://mitra.stanford.edu/kundaje/oak/projects/neuro-variants/variant_position/credible/roussos_2024/variant_figures/roussos_2024.childhood.GLU/rs67338739_count_position.png",4,220,900)</f>
        <v/>
      </c>
      <c r="T2239">
        <f>IMAGE("https://mitra.stanford.edu/kundaje/oak/projects/neuro-variants/variant_position/credible/roussos_2024/variant_figures/roussos_2024.childhood.GLU/rs67338739_profile_position.png",4,220,900)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-0.0107711825</v>
      </c>
      <c r="G2240" t="n">
        <v>0.624336750561012</v>
      </c>
      <c r="H2240" t="n">
        <v>0.0133713448008236</v>
      </c>
      <c r="I2240" t="n">
        <v>0.3431650921805355</v>
      </c>
      <c r="J2240" t="n">
        <v>0.0126067561581175</v>
      </c>
      <c r="K2240" t="n">
        <v>0.571402421372314</v>
      </c>
      <c r="L2240" t="b">
        <v>0</v>
      </c>
      <c r="M2240" t="b">
        <v>0</v>
      </c>
      <c r="N2240" t="inlineStr">
        <is>
          <t>ref</t>
        </is>
      </c>
      <c r="O2240" t="n">
        <v>55</v>
      </c>
      <c r="P2240" t="n">
        <v>0.001508</v>
      </c>
      <c r="Q2240" t="n">
        <v>100</v>
      </c>
      <c r="R2240" t="n">
        <v>0.08409999999999999</v>
      </c>
      <c r="S2240">
        <f>IMAGE("https://mitra.stanford.edu/kundaje/oak/projects/neuro-variants/variant_position/credible/roussos_2024/variant_figures/roussos_2024.childhood.GLU/rs35204416_count_position.png",4,220,900)</f>
        <v/>
      </c>
      <c r="T2240">
        <f>IMAGE("https://mitra.stanford.edu/kundaje/oak/projects/neuro-variants/variant_position/credible/roussos_2024/variant_figures/roussos_2024.childhood.GLU/rs35204416_profile_position.png",4,220,900)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-0.00430125018</v>
      </c>
      <c r="G2241" t="n">
        <v>0.8073948310758855</v>
      </c>
      <c r="H2241" t="n">
        <v>0.0219280844955969</v>
      </c>
      <c r="I2241" t="n">
        <v>0.0718288004938194</v>
      </c>
      <c r="J2241" t="n">
        <v>0.0228398940937702</v>
      </c>
      <c r="K2241" t="n">
        <v>0.4897851096351133</v>
      </c>
      <c r="L2241" t="b">
        <v>0</v>
      </c>
      <c r="M2241" t="b">
        <v>0</v>
      </c>
      <c r="N2241" t="inlineStr">
        <is>
          <t>ref</t>
        </is>
      </c>
      <c r="O2241" t="n">
        <v>5</v>
      </c>
      <c r="P2241" t="n">
        <v>0.0009840000000000001</v>
      </c>
      <c r="Q2241" t="n">
        <v>80</v>
      </c>
      <c r="R2241" t="n">
        <v>0.03165</v>
      </c>
      <c r="S2241">
        <f>IMAGE("https://mitra.stanford.edu/kundaje/oak/projects/neuro-variants/variant_position/credible/roussos_2024/variant_figures/roussos_2024.childhood.GLU/rs72871781_count_position.png",4,220,900)</f>
        <v/>
      </c>
      <c r="T2241">
        <f>IMAGE("https://mitra.stanford.edu/kundaje/oak/projects/neuro-variants/variant_position/credible/roussos_2024/variant_figures/roussos_2024.childhood.GLU/rs72871781_profile_position.png",4,220,900)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0.020212157</v>
      </c>
      <c r="G2242" t="n">
        <v>0.4566672270226052</v>
      </c>
      <c r="H2242" t="n">
        <v>0.0150558409059922</v>
      </c>
      <c r="I2242" t="n">
        <v>0.2457301813353954</v>
      </c>
      <c r="J2242" t="n">
        <v>0.0036397539843612</v>
      </c>
      <c r="K2242" t="n">
        <v>0.7060412878971103</v>
      </c>
      <c r="L2242" t="b">
        <v>0</v>
      </c>
      <c r="M2242" t="b">
        <v>0</v>
      </c>
      <c r="N2242" t="inlineStr">
        <is>
          <t>alt</t>
        </is>
      </c>
      <c r="O2242" t="n">
        <v>-95</v>
      </c>
      <c r="P2242" t="n">
        <v>0.00812</v>
      </c>
      <c r="Q2242" t="n">
        <v>45</v>
      </c>
      <c r="R2242" t="n">
        <v>0.04688</v>
      </c>
      <c r="S2242">
        <f>IMAGE("https://mitra.stanford.edu/kundaje/oak/projects/neuro-variants/variant_position/credible/roussos_2024/variant_figures/roussos_2024.childhood.GLU/rs62176163_count_position.png",4,220,900)</f>
        <v/>
      </c>
      <c r="T2242">
        <f>IMAGE("https://mitra.stanford.edu/kundaje/oak/projects/neuro-variants/variant_position/credible/roussos_2024/variant_figures/roussos_2024.childhood.GLU/rs62176163_profile_position.png",4,220,900)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-0.0187684111</v>
      </c>
      <c r="G2243" t="n">
        <v>0.4053669013951378</v>
      </c>
      <c r="H2243" t="n">
        <v>0.0193358610580801</v>
      </c>
      <c r="I2243" t="n">
        <v>0.1137262592997494</v>
      </c>
      <c r="J2243" t="n">
        <v>0.0022994426530127</v>
      </c>
      <c r="K2243" t="n">
        <v>0.7658026929164539</v>
      </c>
      <c r="L2243" t="b">
        <v>0</v>
      </c>
      <c r="M2243" t="b">
        <v>0</v>
      </c>
      <c r="N2243" t="inlineStr">
        <is>
          <t>ref</t>
        </is>
      </c>
      <c r="O2243" t="n">
        <v>25</v>
      </c>
      <c r="P2243" t="n">
        <v>0.001068</v>
      </c>
      <c r="Q2243" t="n">
        <v>-25</v>
      </c>
      <c r="R2243" t="n">
        <v>0.0256</v>
      </c>
      <c r="S2243">
        <f>IMAGE("https://mitra.stanford.edu/kundaje/oak/projects/neuro-variants/variant_position/credible/roussos_2024/variant_figures/roussos_2024.childhood.GLU/rs11892879_count_position.png",4,220,900)</f>
        <v/>
      </c>
      <c r="T2243">
        <f>IMAGE("https://mitra.stanford.edu/kundaje/oak/projects/neuro-variants/variant_position/credible/roussos_2024/variant_figures/roussos_2024.childhood.GLU/rs11892879_profile_position.png",4,220,900)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-0.1059512726</v>
      </c>
      <c r="G2244" t="n">
        <v>0.041736213052628</v>
      </c>
      <c r="H2244" t="n">
        <v>0.0344150356936883</v>
      </c>
      <c r="I2244" t="n">
        <v>0.0133415949710222</v>
      </c>
      <c r="J2244" t="n">
        <v>0.0808637332976191</v>
      </c>
      <c r="K2244" t="n">
        <v>0.2818531195125908</v>
      </c>
      <c r="L2244" t="b">
        <v>1</v>
      </c>
      <c r="M2244" t="b">
        <v>0</v>
      </c>
      <c r="N2244" t="inlineStr">
        <is>
          <t>ref</t>
        </is>
      </c>
      <c r="O2244" t="n">
        <v>-90</v>
      </c>
      <c r="P2244" t="n">
        <v>0.010925</v>
      </c>
      <c r="Q2244" t="n">
        <v>-95</v>
      </c>
      <c r="R2244" t="n">
        <v>0.1328</v>
      </c>
      <c r="S2244">
        <f>IMAGE("https://mitra.stanford.edu/kundaje/oak/projects/neuro-variants/variant_position/credible/roussos_2024/variant_figures/roussos_2024.childhood.GLU/rs12612835_count_position.png",4,220,900)</f>
        <v/>
      </c>
      <c r="T2244">
        <f>IMAGE("https://mitra.stanford.edu/kundaje/oak/projects/neuro-variants/variant_position/credible/roussos_2024/variant_figures/roussos_2024.childhood.GLU/rs12612835_profile_position.png",4,220,900)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0.00688919002</v>
      </c>
      <c r="G2245" t="n">
        <v>0.7110055562034782</v>
      </c>
      <c r="H2245" t="n">
        <v>0.0227299676002785</v>
      </c>
      <c r="I2245" t="n">
        <v>0.0637080384296792</v>
      </c>
      <c r="J2245" t="n">
        <v>0.002683713311424</v>
      </c>
      <c r="K2245" t="n">
        <v>0.7398957460640678</v>
      </c>
      <c r="L2245" t="b">
        <v>0</v>
      </c>
      <c r="M2245" t="b">
        <v>0</v>
      </c>
      <c r="N2245" t="inlineStr">
        <is>
          <t>alt</t>
        </is>
      </c>
      <c r="O2245" t="n">
        <v>-20</v>
      </c>
      <c r="P2245" t="n">
        <v>0.001366</v>
      </c>
      <c r="Q2245" t="n">
        <v>-60</v>
      </c>
      <c r="R2245" t="n">
        <v>0.0216</v>
      </c>
      <c r="S2245">
        <f>IMAGE("https://mitra.stanford.edu/kundaje/oak/projects/neuro-variants/variant_position/credible/roussos_2024/variant_figures/roussos_2024.childhood.GLU/rs1881046_count_position.png",4,220,900)</f>
        <v/>
      </c>
      <c r="T2245">
        <f>IMAGE("https://mitra.stanford.edu/kundaje/oak/projects/neuro-variants/variant_position/credible/roussos_2024/variant_figures/roussos_2024.childhood.GLU/rs1881046_profile_position.png",4,220,900)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0.0829618538</v>
      </c>
      <c r="G2246" t="n">
        <v>0.07064883901493969</v>
      </c>
      <c r="H2246" t="n">
        <v>0.0134282056875699</v>
      </c>
      <c r="I2246" t="n">
        <v>0.3425556738851891</v>
      </c>
      <c r="J2246" t="n">
        <v>0.016500973554349</v>
      </c>
      <c r="K2246" t="n">
        <v>0.5424761059435411</v>
      </c>
      <c r="L2246" t="b">
        <v>0</v>
      </c>
      <c r="M2246" t="b">
        <v>0</v>
      </c>
      <c r="N2246" t="inlineStr">
        <is>
          <t>alt</t>
        </is>
      </c>
      <c r="O2246" t="n">
        <v>70</v>
      </c>
      <c r="P2246" t="n">
        <v>0.008865</v>
      </c>
      <c r="Q2246" t="n">
        <v>35</v>
      </c>
      <c r="R2246" t="n">
        <v>0.03613</v>
      </c>
      <c r="S2246">
        <f>IMAGE("https://mitra.stanford.edu/kundaje/oak/projects/neuro-variants/variant_position/credible/roussos_2024/variant_figures/roussos_2024.childhood.GLU/rs2103263_count_position.png",4,220,900)</f>
        <v/>
      </c>
      <c r="T2246">
        <f>IMAGE("https://mitra.stanford.edu/kundaje/oak/projects/neuro-variants/variant_position/credible/roussos_2024/variant_figures/roussos_2024.childhood.GLU/rs2103263_profile_position.png",4,220,900)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-0.00011027166</v>
      </c>
      <c r="G2247" t="n">
        <v>0.8887408981055056</v>
      </c>
      <c r="H2247" t="n">
        <v>0.0194282419499297</v>
      </c>
      <c r="I2247" t="n">
        <v>0.1135842193068237</v>
      </c>
      <c r="J2247" t="n">
        <v>0.06324909598524719</v>
      </c>
      <c r="K2247" t="n">
        <v>0.3137554886811288</v>
      </c>
      <c r="L2247" t="b">
        <v>0</v>
      </c>
      <c r="M2247" t="b">
        <v>0</v>
      </c>
      <c r="N2247" t="inlineStr">
        <is>
          <t>ref</t>
        </is>
      </c>
      <c r="O2247" t="n">
        <v>45</v>
      </c>
      <c r="P2247" t="n">
        <v>0.00537</v>
      </c>
      <c r="Q2247" t="n">
        <v>45</v>
      </c>
      <c r="R2247" t="n">
        <v>0.04175</v>
      </c>
      <c r="S2247">
        <f>IMAGE("https://mitra.stanford.edu/kundaje/oak/projects/neuro-variants/variant_position/credible/roussos_2024/variant_figures/roussos_2024.childhood.GLU/rs35377330_count_position.png",4,220,900)</f>
        <v/>
      </c>
      <c r="T2247">
        <f>IMAGE("https://mitra.stanford.edu/kundaje/oak/projects/neuro-variants/variant_position/credible/roussos_2024/variant_figures/roussos_2024.childhood.GLU/rs35377330_profile_position.png",4,220,900)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0.000831913842</v>
      </c>
      <c r="G2248" t="n">
        <v>0.9002275636405255</v>
      </c>
      <c r="H2248" t="n">
        <v>0.008722196731681399</v>
      </c>
      <c r="I2248" t="n">
        <v>0.8010526577674685</v>
      </c>
      <c r="J2248" t="n">
        <v>0.0097602686803959</v>
      </c>
      <c r="K2248" t="n">
        <v>0.5917996565011941</v>
      </c>
      <c r="L2248" t="b">
        <v>0</v>
      </c>
      <c r="M2248" t="b">
        <v>0</v>
      </c>
      <c r="N2248" t="inlineStr">
        <is>
          <t>alt</t>
        </is>
      </c>
      <c r="O2248" t="n">
        <v>30</v>
      </c>
      <c r="P2248" t="n">
        <v>0.005</v>
      </c>
      <c r="Q2248" t="n">
        <v>25</v>
      </c>
      <c r="R2248" t="n">
        <v>0.0944</v>
      </c>
      <c r="S2248">
        <f>IMAGE("https://mitra.stanford.edu/kundaje/oak/projects/neuro-variants/variant_position/credible/roussos_2024/variant_figures/roussos_2024.childhood.GLU/rs13026547_count_position.png",4,220,900)</f>
        <v/>
      </c>
      <c r="T2248">
        <f>IMAGE("https://mitra.stanford.edu/kundaje/oak/projects/neuro-variants/variant_position/credible/roussos_2024/variant_figures/roussos_2024.childhood.GLU/rs13026547_profile_position.png",4,220,900)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-0.0587828979999999</v>
      </c>
      <c r="G2249" t="n">
        <v>0.1346396397561247</v>
      </c>
      <c r="H2249" t="n">
        <v>0.0106203875454217</v>
      </c>
      <c r="I2249" t="n">
        <v>0.5957644440934168</v>
      </c>
      <c r="J2249" t="n">
        <v>0.0867617212852977</v>
      </c>
      <c r="K2249" t="n">
        <v>0.2698637275722261</v>
      </c>
      <c r="L2249" t="b">
        <v>0</v>
      </c>
      <c r="M2249" t="b">
        <v>0</v>
      </c>
      <c r="N2249" t="inlineStr">
        <is>
          <t>ref</t>
        </is>
      </c>
      <c r="O2249" t="n">
        <v>-95</v>
      </c>
      <c r="P2249" t="n">
        <v>0.02103</v>
      </c>
      <c r="Q2249" t="n">
        <v>95</v>
      </c>
      <c r="R2249" t="n">
        <v>0.2401</v>
      </c>
      <c r="S2249">
        <f>IMAGE("https://mitra.stanford.edu/kundaje/oak/projects/neuro-variants/variant_position/credible/roussos_2024/variant_figures/roussos_2024.childhood.GLU/rs7604885_count_position.png",4,220,900)</f>
        <v/>
      </c>
      <c r="T2249">
        <f>IMAGE("https://mitra.stanford.edu/kundaje/oak/projects/neuro-variants/variant_position/credible/roussos_2024/variant_figures/roussos_2024.childhood.GLU/rs7604885_profile_position.png",4,220,900)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-0.0289323</v>
      </c>
      <c r="G2250" t="n">
        <v>0.2190352207600491</v>
      </c>
      <c r="H2250" t="n">
        <v>0.0155979460822691</v>
      </c>
      <c r="I2250" t="n">
        <v>0.2239792384087525</v>
      </c>
      <c r="J2250" t="n">
        <v>0.0059927678819784</v>
      </c>
      <c r="K2250" t="n">
        <v>0.6686477485251573</v>
      </c>
      <c r="L2250" t="b">
        <v>0</v>
      </c>
      <c r="M2250" t="b">
        <v>0</v>
      </c>
      <c r="N2250" t="inlineStr">
        <is>
          <t>ref</t>
        </is>
      </c>
      <c r="O2250" t="n">
        <v>-100</v>
      </c>
      <c r="P2250" t="n">
        <v>0.01828</v>
      </c>
      <c r="Q2250" t="n">
        <v>-10</v>
      </c>
      <c r="R2250" t="n">
        <v>0.008354</v>
      </c>
      <c r="S2250">
        <f>IMAGE("https://mitra.stanford.edu/kundaje/oak/projects/neuro-variants/variant_position/credible/roussos_2024/variant_figures/roussos_2024.childhood.GLU/rs13021985_count_position.png",4,220,900)</f>
        <v/>
      </c>
      <c r="T2250">
        <f>IMAGE("https://mitra.stanford.edu/kundaje/oak/projects/neuro-variants/variant_position/credible/roussos_2024/variant_figures/roussos_2024.childhood.GLU/rs13021985_profile_position.png",4,220,900)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0.0412463118</v>
      </c>
      <c r="G2251" t="n">
        <v>0.2446416325557488</v>
      </c>
      <c r="H2251" t="n">
        <v>0.0321223213702528</v>
      </c>
      <c r="I2251" t="n">
        <v>0.0162879493145005</v>
      </c>
      <c r="J2251" t="n">
        <v>0.0434133124542841</v>
      </c>
      <c r="K2251" t="n">
        <v>0.3790231728318664</v>
      </c>
      <c r="L2251" t="b">
        <v>1</v>
      </c>
      <c r="M2251" t="b">
        <v>0</v>
      </c>
      <c r="N2251" t="inlineStr">
        <is>
          <t>alt</t>
        </is>
      </c>
      <c r="O2251" t="n">
        <v>90</v>
      </c>
      <c r="P2251" t="n">
        <v>0.02707</v>
      </c>
      <c r="Q2251" t="n">
        <v>100</v>
      </c>
      <c r="R2251" t="n">
        <v>0.08093</v>
      </c>
      <c r="S2251">
        <f>IMAGE("https://mitra.stanford.edu/kundaje/oak/projects/neuro-variants/variant_position/credible/roussos_2024/variant_figures/roussos_2024.childhood.GLU/rs4295021_count_position.png",4,220,900)</f>
        <v/>
      </c>
      <c r="T2251">
        <f>IMAGE("https://mitra.stanford.edu/kundaje/oak/projects/neuro-variants/variant_position/credible/roussos_2024/variant_figures/roussos_2024.childhood.GLU/rs4295021_profile_position.png",4,220,900)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0.03104850666</v>
      </c>
      <c r="G2252" t="n">
        <v>0.3208652813468911</v>
      </c>
      <c r="H2252" t="n">
        <v>0.0168318941573817</v>
      </c>
      <c r="I2252" t="n">
        <v>0.1759490992092068</v>
      </c>
      <c r="J2252" t="n">
        <v>0.0050490898039498</v>
      </c>
      <c r="K2252" t="n">
        <v>0.6741661271560276</v>
      </c>
      <c r="L2252" t="b">
        <v>0</v>
      </c>
      <c r="M2252" t="b">
        <v>0</v>
      </c>
      <c r="N2252" t="inlineStr">
        <is>
          <t>alt</t>
        </is>
      </c>
      <c r="O2252" t="n">
        <v>15</v>
      </c>
      <c r="P2252" t="n">
        <v>0.0009747</v>
      </c>
      <c r="Q2252" t="n">
        <v>-90</v>
      </c>
      <c r="R2252" t="n">
        <v>0.08359999999999999</v>
      </c>
      <c r="S2252">
        <f>IMAGE("https://mitra.stanford.edu/kundaje/oak/projects/neuro-variants/variant_position/credible/roussos_2024/variant_figures/roussos_2024.childhood.GLU/rs2909455_count_position.png",4,220,900)</f>
        <v/>
      </c>
      <c r="T2252">
        <f>IMAGE("https://mitra.stanford.edu/kundaje/oak/projects/neuro-variants/variant_position/credible/roussos_2024/variant_figures/roussos_2024.childhood.GLU/rs2909455_profile_position.png",4,220,900)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-0.0130292563</v>
      </c>
      <c r="G2253" t="n">
        <v>0.5945231636879375</v>
      </c>
      <c r="H2253" t="n">
        <v>0.0102240975727098</v>
      </c>
      <c r="I2253" t="n">
        <v>0.635586661572271</v>
      </c>
      <c r="J2253" t="n">
        <v>0.0263663242914687</v>
      </c>
      <c r="K2253" t="n">
        <v>0.4536845441565063</v>
      </c>
      <c r="L2253" t="b">
        <v>0</v>
      </c>
      <c r="M2253" t="b">
        <v>0</v>
      </c>
      <c r="N2253" t="inlineStr">
        <is>
          <t>ref</t>
        </is>
      </c>
      <c r="O2253" t="n">
        <v>-100</v>
      </c>
      <c r="P2253" t="n">
        <v>0.00893</v>
      </c>
      <c r="Q2253" t="n">
        <v>-95</v>
      </c>
      <c r="R2253" t="n">
        <v>0.12463</v>
      </c>
      <c r="S2253">
        <f>IMAGE("https://mitra.stanford.edu/kundaje/oak/projects/neuro-variants/variant_position/credible/roussos_2024/variant_figures/roussos_2024.childhood.GLU/rs975341_count_position.png",4,220,900)</f>
        <v/>
      </c>
      <c r="T2253">
        <f>IMAGE("https://mitra.stanford.edu/kundaje/oak/projects/neuro-variants/variant_position/credible/roussos_2024/variant_figures/roussos_2024.childhood.GLU/rs975341_profile_position.png",4,220,900)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-0.16243085</v>
      </c>
      <c r="G2254" t="n">
        <v>0.0143073758058916</v>
      </c>
      <c r="H2254" t="n">
        <v>0.0396915829971358</v>
      </c>
      <c r="I2254" t="n">
        <v>0.0069879133876692</v>
      </c>
      <c r="J2254" t="n">
        <v>0.0380448556151935</v>
      </c>
      <c r="K2254" t="n">
        <v>0.4118351096925293</v>
      </c>
      <c r="L2254" t="b">
        <v>1</v>
      </c>
      <c r="M2254" t="b">
        <v>0</v>
      </c>
      <c r="N2254" t="inlineStr">
        <is>
          <t>ref</t>
        </is>
      </c>
      <c r="O2254" t="n">
        <v>100</v>
      </c>
      <c r="P2254" t="n">
        <v>0.01129</v>
      </c>
      <c r="Q2254" t="n">
        <v>10</v>
      </c>
      <c r="R2254" t="n">
        <v>0.01978</v>
      </c>
      <c r="S2254">
        <f>IMAGE("https://mitra.stanford.edu/kundaje/oak/projects/neuro-variants/variant_position/credible/roussos_2024/variant_figures/roussos_2024.childhood.GLU/rs6722396_count_position.png",4,220,900)</f>
        <v/>
      </c>
      <c r="T2254">
        <f>IMAGE("https://mitra.stanford.edu/kundaje/oak/projects/neuro-variants/variant_position/credible/roussos_2024/variant_figures/roussos_2024.childhood.GLU/rs6722396_profile_position.png",4,220,900)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0.0857025812</v>
      </c>
      <c r="G2255" t="n">
        <v>0.0628375393326473</v>
      </c>
      <c r="H2255" t="n">
        <v>0.0106524489751198</v>
      </c>
      <c r="I2255" t="n">
        <v>0.5707725987144607</v>
      </c>
      <c r="J2255" t="n">
        <v>0.2871325991325579</v>
      </c>
      <c r="K2255" t="n">
        <v>0.1023794055351567</v>
      </c>
      <c r="L2255" t="b">
        <v>0</v>
      </c>
      <c r="M2255" t="b">
        <v>0</v>
      </c>
      <c r="N2255" t="inlineStr">
        <is>
          <t>alt</t>
        </is>
      </c>
      <c r="O2255" t="n">
        <v>-90</v>
      </c>
      <c r="P2255" t="n">
        <v>0.04935</v>
      </c>
      <c r="Q2255" t="n">
        <v>-70</v>
      </c>
      <c r="R2255" t="n">
        <v>0.1223</v>
      </c>
      <c r="S2255">
        <f>IMAGE("https://mitra.stanford.edu/kundaje/oak/projects/neuro-variants/variant_position/credible/roussos_2024/variant_figures/roussos_2024.childhood.GLU/rs10189241_count_position.png",4,220,900)</f>
        <v/>
      </c>
      <c r="T2255">
        <f>IMAGE("https://mitra.stanford.edu/kundaje/oak/projects/neuro-variants/variant_position/credible/roussos_2024/variant_figures/roussos_2024.childhood.GLU/rs10189241_profile_position.png",4,220,900)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-0.228720522</v>
      </c>
      <c r="G2256" t="n">
        <v>0.0052374612098056</v>
      </c>
      <c r="H2256" t="n">
        <v>0.0372093914009355</v>
      </c>
      <c r="I2256" t="n">
        <v>0.0089109038510533</v>
      </c>
      <c r="J2256" t="n">
        <v>0.4428034244387897</v>
      </c>
      <c r="K2256" t="n">
        <v>0.0536227593820603</v>
      </c>
      <c r="L2256" t="b">
        <v>1</v>
      </c>
      <c r="M2256" t="b">
        <v>1</v>
      </c>
      <c r="N2256" t="inlineStr">
        <is>
          <t>ref</t>
        </is>
      </c>
      <c r="O2256" t="n">
        <v>40</v>
      </c>
      <c r="P2256" t="n">
        <v>0.0065</v>
      </c>
      <c r="Q2256" t="n">
        <v>50</v>
      </c>
      <c r="R2256" t="n">
        <v>0.1445</v>
      </c>
      <c r="S2256">
        <f>IMAGE("https://mitra.stanford.edu/kundaje/oak/projects/neuro-variants/variant_position/credible/roussos_2024/variant_figures/roussos_2024.childhood.GLU/rs7564698_count_position.png",4,220,900)</f>
        <v/>
      </c>
      <c r="T2256">
        <f>IMAGE("https://mitra.stanford.edu/kundaje/oak/projects/neuro-variants/variant_position/credible/roussos_2024/variant_figures/roussos_2024.childhood.GLU/rs7564698_profile_position.png",4,220,900)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0.02673965688</v>
      </c>
      <c r="G2257" t="n">
        <v>0.3595168737074202</v>
      </c>
      <c r="H2257" t="n">
        <v>0.0125782213227326</v>
      </c>
      <c r="I2257" t="n">
        <v>0.4065230911982753</v>
      </c>
      <c r="J2257" t="n">
        <v>0.4797325558634757</v>
      </c>
      <c r="K2257" t="n">
        <v>0.0459190152123637</v>
      </c>
      <c r="L2257" t="b">
        <v>0</v>
      </c>
      <c r="M2257" t="b">
        <v>0</v>
      </c>
      <c r="N2257" t="inlineStr">
        <is>
          <t>alt</t>
        </is>
      </c>
      <c r="O2257" t="n">
        <v>-20</v>
      </c>
      <c r="P2257" t="n">
        <v>0.005188</v>
      </c>
      <c r="Q2257" t="n">
        <v>-10</v>
      </c>
      <c r="R2257" t="n">
        <v>0.02637</v>
      </c>
      <c r="S2257">
        <f>IMAGE("https://mitra.stanford.edu/kundaje/oak/projects/neuro-variants/variant_position/credible/roussos_2024/variant_figures/roussos_2024.childhood.GLU/rs4668081_count_position.png",4,220,900)</f>
        <v/>
      </c>
      <c r="T2257">
        <f>IMAGE("https://mitra.stanford.edu/kundaje/oak/projects/neuro-variants/variant_position/credible/roussos_2024/variant_figures/roussos_2024.childhood.GLU/rs4668081_profile_position.png",4,220,900)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-0.0949829364</v>
      </c>
      <c r="G2258" t="n">
        <v>0.0560576545297079</v>
      </c>
      <c r="H2258" t="n">
        <v>0.013912335223856</v>
      </c>
      <c r="I2258" t="n">
        <v>0.3163551570535302</v>
      </c>
      <c r="J2258" t="n">
        <v>0.0151575715742734</v>
      </c>
      <c r="K2258" t="n">
        <v>0.5280958746053183</v>
      </c>
      <c r="L2258" t="b">
        <v>0</v>
      </c>
      <c r="M2258" t="b">
        <v>0</v>
      </c>
      <c r="N2258" t="inlineStr">
        <is>
          <t>ref</t>
        </is>
      </c>
      <c r="O2258" t="n">
        <v>-25</v>
      </c>
      <c r="P2258" t="n">
        <v>0.001427</v>
      </c>
      <c r="Q2258" t="n">
        <v>70</v>
      </c>
      <c r="R2258" t="n">
        <v>0.0395</v>
      </c>
      <c r="S2258">
        <f>IMAGE("https://mitra.stanford.edu/kundaje/oak/projects/neuro-variants/variant_position/credible/roussos_2024/variant_figures/roussos_2024.childhood.GLU/rs4277491_count_position.png",4,220,900)</f>
        <v/>
      </c>
      <c r="T2258">
        <f>IMAGE("https://mitra.stanford.edu/kundaje/oak/projects/neuro-variants/variant_position/credible/roussos_2024/variant_figures/roussos_2024.childhood.GLU/rs4277491_profile_position.png",4,220,900)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-0.182425412</v>
      </c>
      <c r="G2259" t="n">
        <v>0.0110248978511089</v>
      </c>
      <c r="H2259" t="n">
        <v>0.0281419281929731</v>
      </c>
      <c r="I2259" t="n">
        <v>0.0296721652120328</v>
      </c>
      <c r="J2259" t="n">
        <v>0.048735409562467</v>
      </c>
      <c r="K2259" t="n">
        <v>0.3620282671326177</v>
      </c>
      <c r="L2259" t="b">
        <v>1</v>
      </c>
      <c r="M2259" t="b">
        <v>0</v>
      </c>
      <c r="N2259" t="inlineStr">
        <is>
          <t>ref</t>
        </is>
      </c>
      <c r="O2259" t="n">
        <v>25</v>
      </c>
      <c r="P2259" t="n">
        <v>0.01062</v>
      </c>
      <c r="Q2259" t="n">
        <v>75</v>
      </c>
      <c r="R2259" t="n">
        <v>0.126</v>
      </c>
      <c r="S2259">
        <f>IMAGE("https://mitra.stanford.edu/kundaje/oak/projects/neuro-variants/variant_position/credible/roussos_2024/variant_figures/roussos_2024.childhood.GLU/rs75696288_count_position.png",4,220,900)</f>
        <v/>
      </c>
      <c r="T2259">
        <f>IMAGE("https://mitra.stanford.edu/kundaje/oak/projects/neuro-variants/variant_position/credible/roussos_2024/variant_figures/roussos_2024.childhood.GLU/rs75696288_profile_position.png",4,220,900)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-0.0514876844</v>
      </c>
      <c r="G2260" t="n">
        <v>0.1728154911860348</v>
      </c>
      <c r="H2260" t="n">
        <v>0.009405403755991099</v>
      </c>
      <c r="I2260" t="n">
        <v>0.7194417849831308</v>
      </c>
      <c r="J2260" t="n">
        <v>0.1407831703874643</v>
      </c>
      <c r="K2260" t="n">
        <v>0.1963407810110635</v>
      </c>
      <c r="L2260" t="b">
        <v>0</v>
      </c>
      <c r="M2260" t="b">
        <v>0</v>
      </c>
      <c r="N2260" t="inlineStr">
        <is>
          <t>ref</t>
        </is>
      </c>
      <c r="O2260" t="n">
        <v>-40</v>
      </c>
      <c r="P2260" t="n">
        <v>0.00214</v>
      </c>
      <c r="Q2260" t="n">
        <v>50</v>
      </c>
      <c r="R2260" t="n">
        <v>0.0791</v>
      </c>
      <c r="S2260">
        <f>IMAGE("https://mitra.stanford.edu/kundaje/oak/projects/neuro-variants/variant_position/credible/roussos_2024/variant_figures/roussos_2024.childhood.GLU/rs1008151_count_position.png",4,220,900)</f>
        <v/>
      </c>
      <c r="T2260">
        <f>IMAGE("https://mitra.stanford.edu/kundaje/oak/projects/neuro-variants/variant_position/credible/roussos_2024/variant_figures/roussos_2024.childhood.GLU/rs1008151_profile_position.png",4,220,900)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0.00654449894</v>
      </c>
      <c r="G2261" t="n">
        <v>0.7376514242804942</v>
      </c>
      <c r="H2261" t="n">
        <v>0.0259097770637345</v>
      </c>
      <c r="I2261" t="n">
        <v>0.0380962110337707</v>
      </c>
      <c r="J2261" t="n">
        <v>0.5473909773661492</v>
      </c>
      <c r="K2261" t="n">
        <v>0.0338920442633918</v>
      </c>
      <c r="L2261" t="b">
        <v>0</v>
      </c>
      <c r="M2261" t="b">
        <v>0</v>
      </c>
      <c r="N2261" t="inlineStr">
        <is>
          <t>alt</t>
        </is>
      </c>
      <c r="O2261" t="n">
        <v>-70</v>
      </c>
      <c r="P2261" t="n">
        <v>0.001688</v>
      </c>
      <c r="Q2261" t="n">
        <v>55</v>
      </c>
      <c r="R2261" t="n">
        <v>0.05127</v>
      </c>
      <c r="S2261">
        <f>IMAGE("https://mitra.stanford.edu/kundaje/oak/projects/neuro-variants/variant_position/credible/roussos_2024/variant_figures/roussos_2024.childhood.GLU/rs1001780_count_position.png",4,220,900)</f>
        <v/>
      </c>
      <c r="T2261">
        <f>IMAGE("https://mitra.stanford.edu/kundaje/oak/projects/neuro-variants/variant_position/credible/roussos_2024/variant_figures/roussos_2024.childhood.GLU/rs1001780_profile_position.png",4,220,900)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-0.109869857</v>
      </c>
      <c r="G2262" t="n">
        <v>0.0386635559936153</v>
      </c>
      <c r="H2262" t="n">
        <v>0.0174696339947308</v>
      </c>
      <c r="I2262" t="n">
        <v>0.1531335056157106</v>
      </c>
      <c r="J2262" t="n">
        <v>0.5105071754561281</v>
      </c>
      <c r="K2262" t="n">
        <v>0.0400740946561811</v>
      </c>
      <c r="L2262" t="b">
        <v>0</v>
      </c>
      <c r="M2262" t="b">
        <v>0</v>
      </c>
      <c r="N2262" t="inlineStr">
        <is>
          <t>ref</t>
        </is>
      </c>
      <c r="O2262" t="n">
        <v>-20</v>
      </c>
      <c r="P2262" t="n">
        <v>0.0004349</v>
      </c>
      <c r="Q2262" t="n">
        <v>55</v>
      </c>
      <c r="R2262" t="n">
        <v>0.08765000000000001</v>
      </c>
      <c r="S2262">
        <f>IMAGE("https://mitra.stanford.edu/kundaje/oak/projects/neuro-variants/variant_position/credible/roussos_2024/variant_figures/roussos_2024.childhood.GLU/rs62184960_count_position.png",4,220,900)</f>
        <v/>
      </c>
      <c r="T2262">
        <f>IMAGE("https://mitra.stanford.edu/kundaje/oak/projects/neuro-variants/variant_position/credible/roussos_2024/variant_figures/roussos_2024.childhood.GLU/rs62184960_profile_position.png",4,220,900)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-0.1231572272</v>
      </c>
      <c r="G2263" t="n">
        <v>0.0331021604776279</v>
      </c>
      <c r="H2263" t="n">
        <v>0.0167276054925912</v>
      </c>
      <c r="I2263" t="n">
        <v>0.1876543172911225</v>
      </c>
      <c r="J2263" t="n">
        <v>0.0130415074124058</v>
      </c>
      <c r="K2263" t="n">
        <v>0.5750907708267965</v>
      </c>
      <c r="L2263" t="b">
        <v>0</v>
      </c>
      <c r="M2263" t="b">
        <v>0</v>
      </c>
      <c r="N2263" t="inlineStr">
        <is>
          <t>ref</t>
        </is>
      </c>
      <c r="O2263" t="n">
        <v>40</v>
      </c>
      <c r="P2263" t="n">
        <v>0.002625</v>
      </c>
      <c r="Q2263" t="n">
        <v>50</v>
      </c>
      <c r="R2263" t="n">
        <v>0.0629</v>
      </c>
      <c r="S2263">
        <f>IMAGE("https://mitra.stanford.edu/kundaje/oak/projects/neuro-variants/variant_position/credible/roussos_2024/variant_figures/roussos_2024.childhood.GLU/rs145078188_count_position.png",4,220,900)</f>
        <v/>
      </c>
      <c r="T2263">
        <f>IMAGE("https://mitra.stanford.edu/kundaje/oak/projects/neuro-variants/variant_position/credible/roussos_2024/variant_figures/roussos_2024.childhood.GLU/rs145078188_profile_position.png",4,220,900)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0.105586694</v>
      </c>
      <c r="G2264" t="n">
        <v>0.0384382798869971</v>
      </c>
      <c r="H2264" t="n">
        <v>0.0128084484065047</v>
      </c>
      <c r="I2264" t="n">
        <v>0.3858275190151494</v>
      </c>
      <c r="J2264" t="n">
        <v>0.022013660667374</v>
      </c>
      <c r="K2264" t="n">
        <v>0.4894862010274254</v>
      </c>
      <c r="L2264" t="b">
        <v>0</v>
      </c>
      <c r="M2264" t="b">
        <v>0</v>
      </c>
      <c r="N2264" t="inlineStr">
        <is>
          <t>alt</t>
        </is>
      </c>
      <c r="O2264" t="n">
        <v>60</v>
      </c>
      <c r="P2264" t="n">
        <v>0.02693</v>
      </c>
      <c r="Q2264" t="n">
        <v>60</v>
      </c>
      <c r="R2264" t="n">
        <v>0.276</v>
      </c>
      <c r="S2264">
        <f>IMAGE("https://mitra.stanford.edu/kundaje/oak/projects/neuro-variants/variant_position/credible/roussos_2024/variant_figures/roussos_2024.childhood.GLU/rs11675794_count_position.png",4,220,900)</f>
        <v/>
      </c>
      <c r="T2264">
        <f>IMAGE("https://mitra.stanford.edu/kundaje/oak/projects/neuro-variants/variant_position/credible/roussos_2024/variant_figures/roussos_2024.childhood.GLU/rs11675794_profile_position.png",4,220,900)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0.00379310638</v>
      </c>
      <c r="G2265" t="n">
        <v>0.6034092428386298</v>
      </c>
      <c r="H2265" t="n">
        <v>0.0191926956444743</v>
      </c>
      <c r="I2265" t="n">
        <v>0.1154182676944598</v>
      </c>
      <c r="J2265" t="n">
        <v>0.0364706851968227</v>
      </c>
      <c r="K2265" t="n">
        <v>0.4016990701942855</v>
      </c>
      <c r="L2265" t="b">
        <v>0</v>
      </c>
      <c r="M2265" t="b">
        <v>0</v>
      </c>
      <c r="N2265" t="inlineStr">
        <is>
          <t>alt</t>
        </is>
      </c>
      <c r="O2265" t="n">
        <v>15</v>
      </c>
      <c r="P2265" t="n">
        <v>0.002838</v>
      </c>
      <c r="Q2265" t="n">
        <v>100</v>
      </c>
      <c r="R2265" t="n">
        <v>0.08749999999999999</v>
      </c>
      <c r="S2265">
        <f>IMAGE("https://mitra.stanford.edu/kundaje/oak/projects/neuro-variants/variant_position/credible/roussos_2024/variant_figures/roussos_2024.childhood.GLU/rs728534_count_position.png",4,220,900)</f>
        <v/>
      </c>
      <c r="T2265">
        <f>IMAGE("https://mitra.stanford.edu/kundaje/oak/projects/neuro-variants/variant_position/credible/roussos_2024/variant_figures/roussos_2024.childhood.GLU/rs728534_profile_position.png",4,220,900)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-0.0040750396799999</v>
      </c>
      <c r="G2266" t="n">
        <v>0.598516070938476</v>
      </c>
      <c r="H2266" t="n">
        <v>0.0259655714302902</v>
      </c>
      <c r="I2266" t="n">
        <v>0.038398430078092</v>
      </c>
      <c r="J2266" t="n">
        <v>0.0244954515952898</v>
      </c>
      <c r="K2266" t="n">
        <v>0.4780871455677984</v>
      </c>
      <c r="L2266" t="b">
        <v>0</v>
      </c>
      <c r="M2266" t="b">
        <v>0</v>
      </c>
      <c r="N2266" t="inlineStr">
        <is>
          <t>ref</t>
        </is>
      </c>
      <c r="O2266" t="n">
        <v>-75</v>
      </c>
      <c r="P2266" t="n">
        <v>0.0001698</v>
      </c>
      <c r="Q2266" t="n">
        <v>-100</v>
      </c>
      <c r="R2266" t="n">
        <v>0.1609</v>
      </c>
      <c r="S2266">
        <f>IMAGE("https://mitra.stanford.edu/kundaje/oak/projects/neuro-variants/variant_position/credible/roussos_2024/variant_figures/roussos_2024.childhood.GLU/rs1445542_count_position.png",4,220,900)</f>
        <v/>
      </c>
      <c r="T2266">
        <f>IMAGE("https://mitra.stanford.edu/kundaje/oak/projects/neuro-variants/variant_position/credible/roussos_2024/variant_figures/roussos_2024.childhood.GLU/rs1445542_profile_position.png",4,220,900)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0.04869288532</v>
      </c>
      <c r="G2267" t="n">
        <v>0.1923129505411813</v>
      </c>
      <c r="H2267" t="n">
        <v>0.0182534108208528</v>
      </c>
      <c r="I2267" t="n">
        <v>0.1355846889430513</v>
      </c>
      <c r="J2267" t="n">
        <v>0.0001473209226616</v>
      </c>
      <c r="K2267" t="n">
        <v>0.934056047392458</v>
      </c>
      <c r="L2267" t="b">
        <v>0</v>
      </c>
      <c r="M2267" t="b">
        <v>0</v>
      </c>
      <c r="N2267" t="inlineStr">
        <is>
          <t>alt</t>
        </is>
      </c>
      <c r="O2267" t="n">
        <v>100</v>
      </c>
      <c r="P2267" t="n">
        <v>0.01714</v>
      </c>
      <c r="Q2267" t="n">
        <v>100</v>
      </c>
      <c r="R2267" t="n">
        <v>0.1165</v>
      </c>
      <c r="S2267">
        <f>IMAGE("https://mitra.stanford.edu/kundaje/oak/projects/neuro-variants/variant_position/credible/roussos_2024/variant_figures/roussos_2024.childhood.GLU/rs11680198_count_position.png",4,220,900)</f>
        <v/>
      </c>
      <c r="T2267">
        <f>IMAGE("https://mitra.stanford.edu/kundaje/oak/projects/neuro-variants/variant_position/credible/roussos_2024/variant_figures/roussos_2024.childhood.GLU/rs11680198_profile_position.png",4,220,900)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0.1495011071999999</v>
      </c>
      <c r="G2268" t="n">
        <v>0.0189519411262713</v>
      </c>
      <c r="H2268" t="n">
        <v>0.0320885402269641</v>
      </c>
      <c r="I2268" t="n">
        <v>0.0179068852362861</v>
      </c>
      <c r="J2268" t="n">
        <v>0.0005789815282227</v>
      </c>
      <c r="K2268" t="n">
        <v>0.8578268956403995</v>
      </c>
      <c r="L2268" t="b">
        <v>1</v>
      </c>
      <c r="M2268" t="b">
        <v>0</v>
      </c>
      <c r="N2268" t="inlineStr">
        <is>
          <t>alt</t>
        </is>
      </c>
      <c r="O2268" t="n">
        <v>100</v>
      </c>
      <c r="P2268" t="n">
        <v>0.02536</v>
      </c>
      <c r="Q2268" t="n">
        <v>-60</v>
      </c>
      <c r="R2268" t="n">
        <v>0.04712</v>
      </c>
      <c r="S2268">
        <f>IMAGE("https://mitra.stanford.edu/kundaje/oak/projects/neuro-variants/variant_position/credible/roussos_2024/variant_figures/roussos_2024.childhood.GLU/rs968109_count_position.png",4,220,900)</f>
        <v/>
      </c>
      <c r="T2268">
        <f>IMAGE("https://mitra.stanford.edu/kundaje/oak/projects/neuro-variants/variant_position/credible/roussos_2024/variant_figures/roussos_2024.childhood.GLU/rs968109_profile_position.png",4,220,900)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-0.0347192882</v>
      </c>
      <c r="G2269" t="n">
        <v>0.3209522566875776</v>
      </c>
      <c r="H2269" t="n">
        <v>0.014817318737704</v>
      </c>
      <c r="I2269" t="n">
        <v>0.2564260145556266</v>
      </c>
      <c r="J2269" t="n">
        <v>0.0011208752717194</v>
      </c>
      <c r="K2269" t="n">
        <v>0.81766951684741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0.01204</v>
      </c>
      <c r="Q2269" t="n">
        <v>20</v>
      </c>
      <c r="R2269" t="n">
        <v>0.02197</v>
      </c>
      <c r="S2269">
        <f>IMAGE("https://mitra.stanford.edu/kundaje/oak/projects/neuro-variants/variant_position/credible/roussos_2024/variant_figures/roussos_2024.childhood.GLU/rs4471907_count_position.png",4,220,900)</f>
        <v/>
      </c>
      <c r="T2269">
        <f>IMAGE("https://mitra.stanford.edu/kundaje/oak/projects/neuro-variants/variant_position/credible/roussos_2024/variant_figures/roussos_2024.childhood.GLU/rs4471907_profile_position.png",4,220,900)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0.0148156347</v>
      </c>
      <c r="G2270" t="n">
        <v>0.5320960933348337</v>
      </c>
      <c r="H2270" t="n">
        <v>0.0222284925633085</v>
      </c>
      <c r="I2270" t="n">
        <v>0.0667572984192837</v>
      </c>
      <c r="J2270" t="n">
        <v>0.0004471138491968</v>
      </c>
      <c r="K2270" t="n">
        <v>0.8790094707954248</v>
      </c>
      <c r="L2270" t="b">
        <v>0</v>
      </c>
      <c r="M2270" t="b">
        <v>0</v>
      </c>
      <c r="N2270" t="inlineStr">
        <is>
          <t>alt</t>
        </is>
      </c>
      <c r="O2270" t="n">
        <v>-40</v>
      </c>
      <c r="P2270" t="n">
        <v>0.005207</v>
      </c>
      <c r="Q2270" t="n">
        <v>-95</v>
      </c>
      <c r="R2270" t="n">
        <v>0.0653</v>
      </c>
      <c r="S2270">
        <f>IMAGE("https://mitra.stanford.edu/kundaje/oak/projects/neuro-variants/variant_position/credible/roussos_2024/variant_figures/roussos_2024.childhood.GLU/rs10175759_count_position.png",4,220,900)</f>
        <v/>
      </c>
      <c r="T2270">
        <f>IMAGE("https://mitra.stanford.edu/kundaje/oak/projects/neuro-variants/variant_position/credible/roussos_2024/variant_figures/roussos_2024.childhood.GLU/rs10175759_profile_position.png",4,220,900)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0.044385697</v>
      </c>
      <c r="G2271" t="n">
        <v>0.2155197732155677</v>
      </c>
      <c r="H2271" t="n">
        <v>0.0271561555267014</v>
      </c>
      <c r="I2271" t="n">
        <v>0.0318098967173526</v>
      </c>
      <c r="J2271" t="n">
        <v>0.0045648881700268</v>
      </c>
      <c r="K2271" t="n">
        <v>0.6849021877747469</v>
      </c>
      <c r="L2271" t="b">
        <v>0</v>
      </c>
      <c r="M2271" t="b">
        <v>0</v>
      </c>
      <c r="N2271" t="inlineStr">
        <is>
          <t>alt</t>
        </is>
      </c>
      <c r="O2271" t="n">
        <v>100</v>
      </c>
      <c r="P2271" t="n">
        <v>0.005085</v>
      </c>
      <c r="Q2271" t="n">
        <v>-60</v>
      </c>
      <c r="R2271" t="n">
        <v>0.1113</v>
      </c>
      <c r="S2271">
        <f>IMAGE("https://mitra.stanford.edu/kundaje/oak/projects/neuro-variants/variant_position/credible/roussos_2024/variant_figures/roussos_2024.childhood.GLU/rs6712343_count_position.png",4,220,900)</f>
        <v/>
      </c>
      <c r="T2271">
        <f>IMAGE("https://mitra.stanford.edu/kundaje/oak/projects/neuro-variants/variant_position/credible/roussos_2024/variant_figures/roussos_2024.childhood.GLU/rs6712343_profile_position.png",4,220,900)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-0.2030070739999999</v>
      </c>
      <c r="G2272" t="n">
        <v>0.0074411163433038</v>
      </c>
      <c r="H2272" t="n">
        <v>0.0229172196688249</v>
      </c>
      <c r="I2272" t="n">
        <v>0.0614604239913634</v>
      </c>
      <c r="J2272" t="n">
        <v>0.0138667106225596</v>
      </c>
      <c r="K2272" t="n">
        <v>0.5562378721479673</v>
      </c>
      <c r="L2272" t="b">
        <v>1</v>
      </c>
      <c r="M2272" t="b">
        <v>1</v>
      </c>
      <c r="N2272" t="inlineStr">
        <is>
          <t>ref</t>
        </is>
      </c>
      <c r="O2272" t="n">
        <v>100</v>
      </c>
      <c r="P2272" t="n">
        <v>0.00441</v>
      </c>
      <c r="Q2272" t="n">
        <v>100</v>
      </c>
      <c r="R2272" t="n">
        <v>0.02686</v>
      </c>
      <c r="S2272">
        <f>IMAGE("https://mitra.stanford.edu/kundaje/oak/projects/neuro-variants/variant_position/credible/roussos_2024/variant_figures/roussos_2024.childhood.GLU/rs6714301_count_position.png",4,220,900)</f>
        <v/>
      </c>
      <c r="T2272">
        <f>IMAGE("https://mitra.stanford.edu/kundaje/oak/projects/neuro-variants/variant_position/credible/roussos_2024/variant_figures/roussos_2024.childhood.GLU/rs6714301_profile_position.png",4,220,900)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0.0037715098519999</v>
      </c>
      <c r="G2273" t="n">
        <v>0.71241622581924</v>
      </c>
      <c r="H2273" t="n">
        <v>0.018849427013792</v>
      </c>
      <c r="I2273" t="n">
        <v>0.1209989477730823</v>
      </c>
      <c r="J2273" t="n">
        <v>0.0023066541667095</v>
      </c>
      <c r="K2273" t="n">
        <v>0.7516933146216751</v>
      </c>
      <c r="L2273" t="b">
        <v>0</v>
      </c>
      <c r="M2273" t="b">
        <v>0</v>
      </c>
      <c r="N2273" t="inlineStr">
        <is>
          <t>alt</t>
        </is>
      </c>
      <c r="O2273" t="n">
        <v>-80</v>
      </c>
      <c r="P2273" t="n">
        <v>0.02403</v>
      </c>
      <c r="Q2273" t="n">
        <v>100</v>
      </c>
      <c r="R2273" t="n">
        <v>0.02464</v>
      </c>
      <c r="S2273">
        <f>IMAGE("https://mitra.stanford.edu/kundaje/oak/projects/neuro-variants/variant_position/credible/roussos_2024/variant_figures/roussos_2024.childhood.GLU/rs7557329_count_position.png",4,220,900)</f>
        <v/>
      </c>
      <c r="T2273">
        <f>IMAGE("https://mitra.stanford.edu/kundaje/oak/projects/neuro-variants/variant_position/credible/roussos_2024/variant_figures/roussos_2024.childhood.GLU/rs7557329_profile_position.png",4,220,900)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0.00758687262</v>
      </c>
      <c r="G2274" t="n">
        <v>0.6999197781196383</v>
      </c>
      <c r="H2274" t="n">
        <v>0.0219744643933866</v>
      </c>
      <c r="I2274" t="n">
        <v>0.06973109399835641</v>
      </c>
      <c r="J2274" t="n">
        <v>5.151081211946388e-06</v>
      </c>
      <c r="K2274" t="n">
        <v>1</v>
      </c>
      <c r="L2274" t="b">
        <v>0</v>
      </c>
      <c r="M2274" t="b">
        <v>0</v>
      </c>
      <c r="N2274" t="inlineStr">
        <is>
          <t>alt</t>
        </is>
      </c>
      <c r="O2274" t="n">
        <v>-5</v>
      </c>
      <c r="P2274" t="n">
        <v>0.0008545</v>
      </c>
      <c r="Q2274" t="n">
        <v>-5</v>
      </c>
      <c r="R2274" t="n">
        <v>0.01944</v>
      </c>
      <c r="S2274">
        <f>IMAGE("https://mitra.stanford.edu/kundaje/oak/projects/neuro-variants/variant_position/credible/roussos_2024/variant_figures/roussos_2024.childhood.GLU/rs1902746_count_position.png",4,220,900)</f>
        <v/>
      </c>
      <c r="T2274">
        <f>IMAGE("https://mitra.stanford.edu/kundaje/oak/projects/neuro-variants/variant_position/credible/roussos_2024/variant_figures/roussos_2024.childhood.GLU/rs1902746_profile_position.png",4,220,900)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0.036757225</v>
      </c>
      <c r="G2275" t="n">
        <v>0.2617611354894114</v>
      </c>
      <c r="H2275" t="n">
        <v>0.0188142693776415</v>
      </c>
      <c r="I2275" t="n">
        <v>0.120478608418898</v>
      </c>
      <c r="J2275" t="n">
        <v>0.0061699650756693</v>
      </c>
      <c r="K2275" t="n">
        <v>0.6484916528674225</v>
      </c>
      <c r="L2275" t="b">
        <v>0</v>
      </c>
      <c r="M2275" t="b">
        <v>0</v>
      </c>
      <c r="N2275" t="inlineStr">
        <is>
          <t>alt</t>
        </is>
      </c>
      <c r="O2275" t="n">
        <v>-40</v>
      </c>
      <c r="P2275" t="n">
        <v>0.002266</v>
      </c>
      <c r="Q2275" t="n">
        <v>80</v>
      </c>
      <c r="R2275" t="n">
        <v>0.1597</v>
      </c>
      <c r="S2275">
        <f>IMAGE("https://mitra.stanford.edu/kundaje/oak/projects/neuro-variants/variant_position/credible/roussos_2024/variant_figures/roussos_2024.childhood.GLU/rs1037708_count_position.png",4,220,900)</f>
        <v/>
      </c>
      <c r="T2275">
        <f>IMAGE("https://mitra.stanford.edu/kundaje/oak/projects/neuro-variants/variant_position/credible/roussos_2024/variant_figures/roussos_2024.childhood.GLU/rs1037708_profile_position.png",4,220,900)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0.0142656511999999</v>
      </c>
      <c r="G2276" t="n">
        <v>0.5455599580552225</v>
      </c>
      <c r="H2276" t="n">
        <v>0.0376435665755185</v>
      </c>
      <c r="I2276" t="n">
        <v>0.0083225384800796</v>
      </c>
      <c r="J2276" t="n">
        <v>1.751367612061772e-05</v>
      </c>
      <c r="K2276" t="n">
        <v>0.9877350244913882</v>
      </c>
      <c r="L2276" t="b">
        <v>0</v>
      </c>
      <c r="M2276" t="b">
        <v>0</v>
      </c>
      <c r="N2276" t="inlineStr">
        <is>
          <t>alt</t>
        </is>
      </c>
      <c r="O2276" t="n">
        <v>85</v>
      </c>
      <c r="P2276" t="n">
        <v>0.009310000000000001</v>
      </c>
      <c r="Q2276" t="n">
        <v>45</v>
      </c>
      <c r="R2276" t="n">
        <v>0.02277</v>
      </c>
      <c r="S2276">
        <f>IMAGE("https://mitra.stanford.edu/kundaje/oak/projects/neuro-variants/variant_position/credible/roussos_2024/variant_figures/roussos_2024.childhood.GLU/rs12617537_count_position.png",4,220,900)</f>
        <v/>
      </c>
      <c r="T2276">
        <f>IMAGE("https://mitra.stanford.edu/kundaje/oak/projects/neuro-variants/variant_position/credible/roussos_2024/variant_figures/roussos_2024.childhood.GLU/rs12617537_profile_position.png",4,220,900)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-0.026202426</v>
      </c>
      <c r="G2277" t="n">
        <v>0.3961032043442966</v>
      </c>
      <c r="H2277" t="n">
        <v>0.0194232504198001</v>
      </c>
      <c r="I2277" t="n">
        <v>0.1107154791418996</v>
      </c>
      <c r="J2277" t="n">
        <v>0.0106833424335767</v>
      </c>
      <c r="K2277" t="n">
        <v>0.5946768748527961</v>
      </c>
      <c r="L2277" t="b">
        <v>0</v>
      </c>
      <c r="M2277" t="b">
        <v>0</v>
      </c>
      <c r="N2277" t="inlineStr">
        <is>
          <t>ref</t>
        </is>
      </c>
      <c r="O2277" t="n">
        <v>-65</v>
      </c>
      <c r="P2277" t="n">
        <v>0.004147</v>
      </c>
      <c r="Q2277" t="n">
        <v>-90</v>
      </c>
      <c r="R2277" t="n">
        <v>0.109</v>
      </c>
      <c r="S2277">
        <f>IMAGE("https://mitra.stanford.edu/kundaje/oak/projects/neuro-variants/variant_position/credible/roussos_2024/variant_figures/roussos_2024.childhood.GLU/rs62279220_count_position.png",4,220,900)</f>
        <v/>
      </c>
      <c r="T2277">
        <f>IMAGE("https://mitra.stanford.edu/kundaje/oak/projects/neuro-variants/variant_position/credible/roussos_2024/variant_figures/roussos_2024.childhood.GLU/rs62279220_profile_position.png",4,220,900)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-0.00251463806</v>
      </c>
      <c r="G2278" t="n">
        <v>0.8450088397994027</v>
      </c>
      <c r="H2278" t="n">
        <v>0.0133873839204703</v>
      </c>
      <c r="I2278" t="n">
        <v>0.3428771219631488</v>
      </c>
      <c r="J2278" t="n">
        <v>0.01397900419298</v>
      </c>
      <c r="K2278" t="n">
        <v>0.540628565676304</v>
      </c>
      <c r="L2278" t="b">
        <v>0</v>
      </c>
      <c r="M2278" t="b">
        <v>0</v>
      </c>
      <c r="N2278" t="inlineStr">
        <is>
          <t>ref</t>
        </is>
      </c>
      <c r="O2278" t="n">
        <v>95</v>
      </c>
      <c r="P2278" t="n">
        <v>0.000622</v>
      </c>
      <c r="Q2278" t="n">
        <v>100</v>
      </c>
      <c r="R2278" t="n">
        <v>0.1007</v>
      </c>
      <c r="S2278">
        <f>IMAGE("https://mitra.stanford.edu/kundaje/oak/projects/neuro-variants/variant_position/credible/roussos_2024/variant_figures/roussos_2024.childhood.GLU/rs10191006_count_position.png",4,220,900)</f>
        <v/>
      </c>
      <c r="T2278">
        <f>IMAGE("https://mitra.stanford.edu/kundaje/oak/projects/neuro-variants/variant_position/credible/roussos_2024/variant_figures/roussos_2024.childhood.GLU/rs10191006_profile_position.png",4,220,900)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0.037644602</v>
      </c>
      <c r="G2279" t="n">
        <v>0.2747593848716238</v>
      </c>
      <c r="H2279" t="n">
        <v>0.0197334769733709</v>
      </c>
      <c r="I2279" t="n">
        <v>0.1043663921748783</v>
      </c>
      <c r="J2279" t="n">
        <v>0.0058815045278003</v>
      </c>
      <c r="K2279" t="n">
        <v>0.652394407877521</v>
      </c>
      <c r="L2279" t="b">
        <v>0</v>
      </c>
      <c r="M2279" t="b">
        <v>0</v>
      </c>
      <c r="N2279" t="inlineStr">
        <is>
          <t>alt</t>
        </is>
      </c>
      <c r="O2279" t="n">
        <v>50</v>
      </c>
      <c r="P2279" t="n">
        <v>0.01642</v>
      </c>
      <c r="Q2279" t="n">
        <v>35</v>
      </c>
      <c r="R2279" t="n">
        <v>0.02121</v>
      </c>
      <c r="S2279">
        <f>IMAGE("https://mitra.stanford.edu/kundaje/oak/projects/neuro-variants/variant_position/credible/roussos_2024/variant_figures/roussos_2024.childhood.GLU/rs2697260_count_position.png",4,220,900)</f>
        <v/>
      </c>
      <c r="T2279">
        <f>IMAGE("https://mitra.stanford.edu/kundaje/oak/projects/neuro-variants/variant_position/credible/roussos_2024/variant_figures/roussos_2024.childhood.GLU/rs2697260_profile_position.png",4,220,900)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-0.0883969198</v>
      </c>
      <c r="G2280" t="n">
        <v>0.058348064988275</v>
      </c>
      <c r="H2280" t="n">
        <v>0.0238418759057343</v>
      </c>
      <c r="I2280" t="n">
        <v>0.0518837081565157</v>
      </c>
      <c r="J2280" t="n">
        <v>0.0124841604252732</v>
      </c>
      <c r="K2280" t="n">
        <v>0.5633526793171721</v>
      </c>
      <c r="L2280" t="b">
        <v>0</v>
      </c>
      <c r="M2280" t="b">
        <v>0</v>
      </c>
      <c r="N2280" t="inlineStr">
        <is>
          <t>ref</t>
        </is>
      </c>
      <c r="O2280" t="n">
        <v>95</v>
      </c>
      <c r="P2280" t="n">
        <v>0.006683</v>
      </c>
      <c r="Q2280" t="n">
        <v>-20</v>
      </c>
      <c r="R2280" t="n">
        <v>0.03296</v>
      </c>
      <c r="S2280">
        <f>IMAGE("https://mitra.stanford.edu/kundaje/oak/projects/neuro-variants/variant_position/credible/roussos_2024/variant_figures/roussos_2024.childhood.GLU/rs7595352_count_position.png",4,220,900)</f>
        <v/>
      </c>
      <c r="T2280">
        <f>IMAGE("https://mitra.stanford.edu/kundaje/oak/projects/neuro-variants/variant_position/credible/roussos_2024/variant_figures/roussos_2024.childhood.GLU/rs7595352_profile_position.png",4,220,900)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0.0249829836</v>
      </c>
      <c r="G2281" t="n">
        <v>0.4182602188169444</v>
      </c>
      <c r="H2281" t="n">
        <v>0.0230597825705744</v>
      </c>
      <c r="I2281" t="n">
        <v>0.0587617109881328</v>
      </c>
      <c r="J2281" t="n">
        <v>0.0949395778173838</v>
      </c>
      <c r="K2281" t="n">
        <v>0.2559748835866393</v>
      </c>
      <c r="L2281" t="b">
        <v>0</v>
      </c>
      <c r="M2281" t="b">
        <v>0</v>
      </c>
      <c r="N2281" t="inlineStr">
        <is>
          <t>alt</t>
        </is>
      </c>
      <c r="O2281" t="n">
        <v>0</v>
      </c>
      <c r="P2281" t="n">
        <v>0</v>
      </c>
      <c r="Q2281" t="n">
        <v>100</v>
      </c>
      <c r="R2281" t="n">
        <v>0.0927</v>
      </c>
      <c r="S2281">
        <f>IMAGE("https://mitra.stanford.edu/kundaje/oak/projects/neuro-variants/variant_position/credible/roussos_2024/variant_figures/roussos_2024.childhood.GLU/rs788007_count_position.png",4,220,900)</f>
        <v/>
      </c>
      <c r="T2281">
        <f>IMAGE("https://mitra.stanford.edu/kundaje/oak/projects/neuro-variants/variant_position/credible/roussos_2024/variant_figures/roussos_2024.childhood.GLU/rs788007_profile_position.png",4,220,900)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-0.0505076852</v>
      </c>
      <c r="G2282" t="n">
        <v>0.1801256766840187</v>
      </c>
      <c r="H2282" t="n">
        <v>0.0229400243755836</v>
      </c>
      <c r="I2282" t="n">
        <v>0.0608675032766182</v>
      </c>
      <c r="J2282" t="n">
        <v>0.0922774990470499</v>
      </c>
      <c r="K2282" t="n">
        <v>0.2642253875914191</v>
      </c>
      <c r="L2282" t="b">
        <v>0</v>
      </c>
      <c r="M2282" t="b">
        <v>0</v>
      </c>
      <c r="N2282" t="inlineStr">
        <is>
          <t>ref</t>
        </is>
      </c>
      <c r="O2282" t="n">
        <v>-65</v>
      </c>
      <c r="P2282" t="n">
        <v>0.0007477</v>
      </c>
      <c r="Q2282" t="n">
        <v>100</v>
      </c>
      <c r="R2282" t="n">
        <v>0.0134</v>
      </c>
      <c r="S2282">
        <f>IMAGE("https://mitra.stanford.edu/kundaje/oak/projects/neuro-variants/variant_position/credible/roussos_2024/variant_figures/roussos_2024.childhood.GLU/rs55775495_count_position.png",4,220,900)</f>
        <v/>
      </c>
      <c r="T2282">
        <f>IMAGE("https://mitra.stanford.edu/kundaje/oak/projects/neuro-variants/variant_position/credible/roussos_2024/variant_figures/roussos_2024.childhood.GLU/rs55775495_profile_position.png",4,220,900)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-0.0258694766999999</v>
      </c>
      <c r="G2283" t="n">
        <v>0.3890500721288029</v>
      </c>
      <c r="H2283" t="n">
        <v>0.0225773527027684</v>
      </c>
      <c r="I2283" t="n">
        <v>0.0648201581142982</v>
      </c>
      <c r="J2283" t="n">
        <v>0.0053993633263621</v>
      </c>
      <c r="K2283" t="n">
        <v>0.6721807359113601</v>
      </c>
      <c r="L2283" t="b">
        <v>0</v>
      </c>
      <c r="M2283" t="b">
        <v>0</v>
      </c>
      <c r="N2283" t="inlineStr">
        <is>
          <t>ref</t>
        </is>
      </c>
      <c r="O2283" t="n">
        <v>100</v>
      </c>
      <c r="P2283" t="n">
        <v>0.01043</v>
      </c>
      <c r="Q2283" t="n">
        <v>-35</v>
      </c>
      <c r="R2283" t="n">
        <v>0.02478</v>
      </c>
      <c r="S2283">
        <f>IMAGE("https://mitra.stanford.edu/kundaje/oak/projects/neuro-variants/variant_position/credible/roussos_2024/variant_figures/roussos_2024.childhood.GLU/rs788023_count_position.png",4,220,900)</f>
        <v/>
      </c>
      <c r="T2283">
        <f>IMAGE("https://mitra.stanford.edu/kundaje/oak/projects/neuro-variants/variant_position/credible/roussos_2024/variant_figures/roussos_2024.childhood.GLU/rs788023_profile_position.png",4,220,900)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0.0414784452</v>
      </c>
      <c r="G2284" t="n">
        <v>0.2275908021229321</v>
      </c>
      <c r="H2284" t="n">
        <v>0.0185569727604681</v>
      </c>
      <c r="I2284" t="n">
        <v>0.1295912135289825</v>
      </c>
      <c r="J2284" t="n">
        <v>0.9766192423789752</v>
      </c>
      <c r="K2284" t="n">
        <v>5.371029931298228e-05</v>
      </c>
      <c r="L2284" t="b">
        <v>0</v>
      </c>
      <c r="M2284" t="b">
        <v>0</v>
      </c>
      <c r="N2284" t="inlineStr">
        <is>
          <t>alt</t>
        </is>
      </c>
      <c r="O2284" t="n">
        <v>-100</v>
      </c>
      <c r="P2284" t="n">
        <v>0.02216</v>
      </c>
      <c r="Q2284" t="n">
        <v>-70</v>
      </c>
      <c r="R2284" t="n">
        <v>0.23</v>
      </c>
      <c r="S2284">
        <f>IMAGE("https://mitra.stanford.edu/kundaje/oak/projects/neuro-variants/variant_position/credible/roussos_2024/variant_figures/roussos_2024.childhood.GLU/rs1116734_count_position.png",4,220,900)</f>
        <v/>
      </c>
      <c r="T2284">
        <f>IMAGE("https://mitra.stanford.edu/kundaje/oak/projects/neuro-variants/variant_position/credible/roussos_2024/variant_figures/roussos_2024.childhood.GLU/rs1116734_profile_position.png",4,220,900)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0.0491135053999999</v>
      </c>
      <c r="G2285" t="n">
        <v>0.1876830988374763</v>
      </c>
      <c r="H2285" t="n">
        <v>0.0121284157325142</v>
      </c>
      <c r="I2285" t="n">
        <v>0.4418267356768329</v>
      </c>
      <c r="J2285" t="n">
        <v>0.0064419421636601</v>
      </c>
      <c r="K2285" t="n">
        <v>0.6600051807426773</v>
      </c>
      <c r="L2285" t="b">
        <v>0</v>
      </c>
      <c r="M2285" t="b">
        <v>0</v>
      </c>
      <c r="N2285" t="inlineStr">
        <is>
          <t>alt</t>
        </is>
      </c>
      <c r="O2285" t="n">
        <v>25</v>
      </c>
      <c r="P2285" t="n">
        <v>0.005238</v>
      </c>
      <c r="Q2285" t="n">
        <v>-70</v>
      </c>
      <c r="R2285" t="n">
        <v>0.1038</v>
      </c>
      <c r="S2285">
        <f>IMAGE("https://mitra.stanford.edu/kundaje/oak/projects/neuro-variants/variant_position/credible/roussos_2024/variant_figures/roussos_2024.childhood.GLU/rs11680291_count_position.png",4,220,900)</f>
        <v/>
      </c>
      <c r="T2285">
        <f>IMAGE("https://mitra.stanford.edu/kundaje/oak/projects/neuro-variants/variant_position/credible/roussos_2024/variant_figures/roussos_2024.childhood.GLU/rs11680291_profile_position.png",4,220,900)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-0.0492354378</v>
      </c>
      <c r="G2286" t="n">
        <v>0.1844369481957513</v>
      </c>
      <c r="H2286" t="n">
        <v>0.0094705584086709</v>
      </c>
      <c r="I2286" t="n">
        <v>0.7167109529385792</v>
      </c>
      <c r="J2286" t="n">
        <v>0.009485200943678</v>
      </c>
      <c r="K2286" t="n">
        <v>0.5988332937924924</v>
      </c>
      <c r="L2286" t="b">
        <v>0</v>
      </c>
      <c r="M2286" t="b">
        <v>0</v>
      </c>
      <c r="N2286" t="inlineStr">
        <is>
          <t>ref</t>
        </is>
      </c>
      <c r="O2286" t="n">
        <v>-100</v>
      </c>
      <c r="P2286" t="n">
        <v>0.01037</v>
      </c>
      <c r="Q2286" t="n">
        <v>-40</v>
      </c>
      <c r="R2286" t="n">
        <v>0.1931</v>
      </c>
      <c r="S2286">
        <f>IMAGE("https://mitra.stanford.edu/kundaje/oak/projects/neuro-variants/variant_position/credible/roussos_2024/variant_figures/roussos_2024.childhood.GLU/rs1455653_count_position.png",4,220,900)</f>
        <v/>
      </c>
      <c r="T2286">
        <f>IMAGE("https://mitra.stanford.edu/kundaje/oak/projects/neuro-variants/variant_position/credible/roussos_2024/variant_figures/roussos_2024.childhood.GLU/rs1455653_profile_position.png",4,220,900)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-0.0470506474</v>
      </c>
      <c r="G2287" t="n">
        <v>0.2005053910799691</v>
      </c>
      <c r="H2287" t="n">
        <v>0.0131044332501745</v>
      </c>
      <c r="I2287" t="n">
        <v>0.3647438670516163</v>
      </c>
      <c r="J2287" t="n">
        <v>0.1774217808317965</v>
      </c>
      <c r="K2287" t="n">
        <v>0.1657005118142128</v>
      </c>
      <c r="L2287" t="b">
        <v>0</v>
      </c>
      <c r="M2287" t="b">
        <v>0</v>
      </c>
      <c r="N2287" t="inlineStr">
        <is>
          <t>ref</t>
        </is>
      </c>
      <c r="O2287" t="n">
        <v>40</v>
      </c>
      <c r="P2287" t="n">
        <v>0.01123</v>
      </c>
      <c r="Q2287" t="n">
        <v>-100</v>
      </c>
      <c r="R2287" t="n">
        <v>0.1324</v>
      </c>
      <c r="S2287">
        <f>IMAGE("https://mitra.stanford.edu/kundaje/oak/projects/neuro-variants/variant_position/credible/roussos_2024/variant_figures/roussos_2024.childhood.GLU/rs34139878_count_position.png",4,220,900)</f>
        <v/>
      </c>
      <c r="T2287">
        <f>IMAGE("https://mitra.stanford.edu/kundaje/oak/projects/neuro-variants/variant_position/credible/roussos_2024/variant_figures/roussos_2024.childhood.GLU/rs34139878_profile_position.png",4,220,900)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-0.00297347688</v>
      </c>
      <c r="G2288" t="n">
        <v>0.7724149121718454</v>
      </c>
      <c r="H2288" t="n">
        <v>0.0272597348724344</v>
      </c>
      <c r="I2288" t="n">
        <v>0.0313941209011379</v>
      </c>
      <c r="J2288" t="n">
        <v>0.1977314638342587</v>
      </c>
      <c r="K2288" t="n">
        <v>0.1513222720187042</v>
      </c>
      <c r="L2288" t="b">
        <v>0</v>
      </c>
      <c r="M2288" t="b">
        <v>0</v>
      </c>
      <c r="N2288" t="inlineStr">
        <is>
          <t>ref</t>
        </is>
      </c>
      <c r="O2288" t="n">
        <v>100</v>
      </c>
      <c r="P2288" t="n">
        <v>0.05637</v>
      </c>
      <c r="Q2288" t="n">
        <v>100</v>
      </c>
      <c r="R2288" t="n">
        <v>0.3547</v>
      </c>
      <c r="S2288">
        <f>IMAGE("https://mitra.stanford.edu/kundaje/oak/projects/neuro-variants/variant_position/credible/roussos_2024/variant_figures/roussos_2024.childhood.GLU/rs1376584_count_position.png",4,220,900)</f>
        <v/>
      </c>
      <c r="T2288">
        <f>IMAGE("https://mitra.stanford.edu/kundaje/oak/projects/neuro-variants/variant_position/credible/roussos_2024/variant_figures/roussos_2024.childhood.GLU/rs1376584_profile_position.png",4,220,900)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0.02417780712</v>
      </c>
      <c r="G2289" t="n">
        <v>0.354229175122258</v>
      </c>
      <c r="H2289" t="n">
        <v>0.0276670104835995</v>
      </c>
      <c r="I2289" t="n">
        <v>0.0299206304897297</v>
      </c>
      <c r="J2289" t="n">
        <v>0.3599791896319037</v>
      </c>
      <c r="K2289" t="n">
        <v>0.0763610032674759</v>
      </c>
      <c r="L2289" t="b">
        <v>0</v>
      </c>
      <c r="M2289" t="b">
        <v>0</v>
      </c>
      <c r="N2289" t="inlineStr">
        <is>
          <t>alt</t>
        </is>
      </c>
      <c r="O2289" t="n">
        <v>-100</v>
      </c>
      <c r="P2289" t="n">
        <v>0.02962</v>
      </c>
      <c r="Q2289" t="n">
        <v>100</v>
      </c>
      <c r="R2289" t="n">
        <v>0.1696</v>
      </c>
      <c r="S2289">
        <f>IMAGE("https://mitra.stanford.edu/kundaje/oak/projects/neuro-variants/variant_position/credible/roussos_2024/variant_figures/roussos_2024.childhood.GLU/rs6733580_count_position.png",4,220,900)</f>
        <v/>
      </c>
      <c r="T2289">
        <f>IMAGE("https://mitra.stanford.edu/kundaje/oak/projects/neuro-variants/variant_position/credible/roussos_2024/variant_figures/roussos_2024.childhood.GLU/rs6733580_profile_position.png",4,220,900)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-0.1558918027999999</v>
      </c>
      <c r="G2290" t="n">
        <v>0.0184168474010364</v>
      </c>
      <c r="H2290" t="n">
        <v>0.0190672984066417</v>
      </c>
      <c r="I2290" t="n">
        <v>0.1233067919408849</v>
      </c>
      <c r="J2290" t="n">
        <v>0.0113251671525852</v>
      </c>
      <c r="K2290" t="n">
        <v>0.6008580124903015</v>
      </c>
      <c r="L2290" t="b">
        <v>1</v>
      </c>
      <c r="M2290" t="b">
        <v>0</v>
      </c>
      <c r="N2290" t="inlineStr">
        <is>
          <t>ref</t>
        </is>
      </c>
      <c r="O2290" t="n">
        <v>-95</v>
      </c>
      <c r="P2290" t="n">
        <v>0.004158</v>
      </c>
      <c r="Q2290" t="n">
        <v>40</v>
      </c>
      <c r="R2290" t="n">
        <v>0.03638</v>
      </c>
      <c r="S2290">
        <f>IMAGE("https://mitra.stanford.edu/kundaje/oak/projects/neuro-variants/variant_position/credible/roussos_2024/variant_figures/roussos_2024.childhood.GLU/rs2345458_count_position.png",4,220,900)</f>
        <v/>
      </c>
      <c r="T2290">
        <f>IMAGE("https://mitra.stanford.edu/kundaje/oak/projects/neuro-variants/variant_position/credible/roussos_2024/variant_figures/roussos_2024.childhood.GLU/rs2345458_profile_position.png",4,220,900)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0.02311275252</v>
      </c>
      <c r="G2291" t="n">
        <v>0.3532933733643084</v>
      </c>
      <c r="H2291" t="n">
        <v>0.0122726154530222</v>
      </c>
      <c r="I2291" t="n">
        <v>0.4398550898900159</v>
      </c>
      <c r="J2291" t="n">
        <v>0.05322097108183</v>
      </c>
      <c r="K2291" t="n">
        <v>0.3487222606580756</v>
      </c>
      <c r="L2291" t="b">
        <v>0</v>
      </c>
      <c r="M2291" t="b">
        <v>0</v>
      </c>
      <c r="N2291" t="inlineStr">
        <is>
          <t>alt</t>
        </is>
      </c>
      <c r="O2291" t="n">
        <v>-80</v>
      </c>
      <c r="P2291" t="n">
        <v>0.003073</v>
      </c>
      <c r="Q2291" t="n">
        <v>100</v>
      </c>
      <c r="R2291" t="n">
        <v>0.10944</v>
      </c>
      <c r="S2291">
        <f>IMAGE("https://mitra.stanford.edu/kundaje/oak/projects/neuro-variants/variant_position/credible/roussos_2024/variant_figures/roussos_2024.childhood.GLU/rs921465_count_position.png",4,220,900)</f>
        <v/>
      </c>
      <c r="T2291">
        <f>IMAGE("https://mitra.stanford.edu/kundaje/oak/projects/neuro-variants/variant_position/credible/roussos_2024/variant_figures/roussos_2024.childhood.GLU/rs921465_profile_position.png",4,220,900)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-0.1019403142</v>
      </c>
      <c r="G2292" t="n">
        <v>0.0495511789115139</v>
      </c>
      <c r="H2292" t="n">
        <v>0.0214201498385473</v>
      </c>
      <c r="I2292" t="n">
        <v>0.0808358441979212</v>
      </c>
      <c r="J2292" t="n">
        <v>0.08203611938145811</v>
      </c>
      <c r="K2292" t="n">
        <v>0.2799538973324234</v>
      </c>
      <c r="L2292" t="b">
        <v>0</v>
      </c>
      <c r="M2292" t="b">
        <v>0</v>
      </c>
      <c r="N2292" t="inlineStr">
        <is>
          <t>ref</t>
        </is>
      </c>
      <c r="O2292" t="n">
        <v>100</v>
      </c>
      <c r="P2292" t="n">
        <v>0.03363</v>
      </c>
      <c r="Q2292" t="n">
        <v>-65</v>
      </c>
      <c r="R2292" t="n">
        <v>0.04047</v>
      </c>
      <c r="S2292">
        <f>IMAGE("https://mitra.stanford.edu/kundaje/oak/projects/neuro-variants/variant_position/credible/roussos_2024/variant_figures/roussos_2024.childhood.GLU/rs1868915_count_position.png",4,220,900)</f>
        <v/>
      </c>
      <c r="T2292">
        <f>IMAGE("https://mitra.stanford.edu/kundaje/oak/projects/neuro-variants/variant_position/credible/roussos_2024/variant_figures/roussos_2024.childhood.GLU/rs1868915_profile_position.png",4,220,900)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-0.0755173292</v>
      </c>
      <c r="G2293" t="n">
        <v>0.0849023909863607</v>
      </c>
      <c r="H2293" t="n">
        <v>0.0133159260852617</v>
      </c>
      <c r="I2293" t="n">
        <v>0.3443072487856854</v>
      </c>
      <c r="J2293" t="n">
        <v>0.0599709479019645</v>
      </c>
      <c r="K2293" t="n">
        <v>0.3256279660082624</v>
      </c>
      <c r="L2293" t="b">
        <v>0</v>
      </c>
      <c r="M2293" t="b">
        <v>0</v>
      </c>
      <c r="N2293" t="inlineStr">
        <is>
          <t>ref</t>
        </is>
      </c>
      <c r="O2293" t="n">
        <v>-80</v>
      </c>
      <c r="P2293" t="n">
        <v>0.00402</v>
      </c>
      <c r="Q2293" t="n">
        <v>-55</v>
      </c>
      <c r="R2293" t="n">
        <v>0.02478</v>
      </c>
      <c r="S2293">
        <f>IMAGE("https://mitra.stanford.edu/kundaje/oak/projects/neuro-variants/variant_position/credible/roussos_2024/variant_figures/roussos_2024.childhood.GLU/rs1376593_count_position.png",4,220,900)</f>
        <v/>
      </c>
      <c r="T2293">
        <f>IMAGE("https://mitra.stanford.edu/kundaje/oak/projects/neuro-variants/variant_position/credible/roussos_2024/variant_figures/roussos_2024.childhood.GLU/rs1376593_profile_position.png",4,220,900)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0.0524805818</v>
      </c>
      <c r="G2294" t="n">
        <v>0.1551138310585282</v>
      </c>
      <c r="H2294" t="n">
        <v>0.0127701556148176</v>
      </c>
      <c r="I2294" t="n">
        <v>0.3917109175407211</v>
      </c>
      <c r="J2294" t="n">
        <v>0.0156922538040734</v>
      </c>
      <c r="K2294" t="n">
        <v>0.5302035088271564</v>
      </c>
      <c r="L2294" t="b">
        <v>0</v>
      </c>
      <c r="M2294" t="b">
        <v>0</v>
      </c>
      <c r="N2294" t="inlineStr">
        <is>
          <t>alt</t>
        </is>
      </c>
      <c r="O2294" t="n">
        <v>0</v>
      </c>
      <c r="P2294" t="n">
        <v>0</v>
      </c>
      <c r="Q2294" t="n">
        <v>5</v>
      </c>
      <c r="R2294" t="n">
        <v>0.006104</v>
      </c>
      <c r="S2294">
        <f>IMAGE("https://mitra.stanford.edu/kundaje/oak/projects/neuro-variants/variant_position/credible/roussos_2024/variant_figures/roussos_2024.childhood.GLU/rs6731445_count_position.png",4,220,900)</f>
        <v/>
      </c>
      <c r="T2294">
        <f>IMAGE("https://mitra.stanford.edu/kundaje/oak/projects/neuro-variants/variant_position/credible/roussos_2024/variant_figures/roussos_2024.childhood.GLU/rs6731445_profile_position.png",4,220,900)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0.0094616323</v>
      </c>
      <c r="G2295" t="n">
        <v>0.5920003504527325</v>
      </c>
      <c r="H2295" t="n">
        <v>0.0140408653807309</v>
      </c>
      <c r="I2295" t="n">
        <v>0.300195287468648</v>
      </c>
      <c r="J2295" t="n">
        <v>0.0155387515839574</v>
      </c>
      <c r="K2295" t="n">
        <v>0.5326075590606288</v>
      </c>
      <c r="L2295" t="b">
        <v>0</v>
      </c>
      <c r="M2295" t="b">
        <v>0</v>
      </c>
      <c r="N2295" t="inlineStr">
        <is>
          <t>alt</t>
        </is>
      </c>
      <c r="O2295" t="n">
        <v>100</v>
      </c>
      <c r="P2295" t="n">
        <v>0.06006</v>
      </c>
      <c r="Q2295" t="n">
        <v>100</v>
      </c>
      <c r="R2295" t="n">
        <v>0.09906</v>
      </c>
      <c r="S2295">
        <f>IMAGE("https://mitra.stanford.edu/kundaje/oak/projects/neuro-variants/variant_position/credible/roussos_2024/variant_figures/roussos_2024.childhood.GLU/rs6743084_count_position.png",4,220,900)</f>
        <v/>
      </c>
      <c r="T2295">
        <f>IMAGE("https://mitra.stanford.edu/kundaje/oak/projects/neuro-variants/variant_position/credible/roussos_2024/variant_figures/roussos_2024.childhood.GLU/rs6743084_profile_position.png",4,220,900)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-0.0622049945999999</v>
      </c>
      <c r="G2296" t="n">
        <v>0.121003915765115</v>
      </c>
      <c r="H2296" t="n">
        <v>0.0128199696676021</v>
      </c>
      <c r="I2296" t="n">
        <v>0.3852580641308779</v>
      </c>
      <c r="J2296" t="n">
        <v>0.5014381818743754</v>
      </c>
      <c r="K2296" t="n">
        <v>0.0417380880875756</v>
      </c>
      <c r="L2296" t="b">
        <v>0</v>
      </c>
      <c r="M2296" t="b">
        <v>0</v>
      </c>
      <c r="N2296" t="inlineStr">
        <is>
          <t>ref</t>
        </is>
      </c>
      <c r="O2296" t="n">
        <v>20</v>
      </c>
      <c r="P2296" t="n">
        <v>0.01306</v>
      </c>
      <c r="Q2296" t="n">
        <v>-85</v>
      </c>
      <c r="R2296" t="n">
        <v>0.09470000000000001</v>
      </c>
      <c r="S2296">
        <f>IMAGE("https://mitra.stanford.edu/kundaje/oak/projects/neuro-variants/variant_position/credible/roussos_2024/variant_figures/roussos_2024.childhood.GLU/rs60642146_count_position.png",4,220,900)</f>
        <v/>
      </c>
      <c r="T2296">
        <f>IMAGE("https://mitra.stanford.edu/kundaje/oak/projects/neuro-variants/variant_position/credible/roussos_2024/variant_figures/roussos_2024.childhood.GLU/rs60642146_profile_position.png",4,220,900)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-0.092224616</v>
      </c>
      <c r="G2297" t="n">
        <v>0.0565037734783049</v>
      </c>
      <c r="H2297" t="n">
        <v>0.0126523550445878</v>
      </c>
      <c r="I2297" t="n">
        <v>0.3960185340161102</v>
      </c>
      <c r="J2297" t="n">
        <v>0.499888736645822</v>
      </c>
      <c r="K2297" t="n">
        <v>0.0420246182005436</v>
      </c>
      <c r="L2297" t="b">
        <v>0</v>
      </c>
      <c r="M2297" t="b">
        <v>0</v>
      </c>
      <c r="N2297" t="inlineStr">
        <is>
          <t>ref</t>
        </is>
      </c>
      <c r="O2297" t="n">
        <v>15</v>
      </c>
      <c r="P2297" t="n">
        <v>0.01343</v>
      </c>
      <c r="Q2297" t="n">
        <v>-95</v>
      </c>
      <c r="R2297" t="n">
        <v>0.08594</v>
      </c>
      <c r="S2297">
        <f>IMAGE("https://mitra.stanford.edu/kundaje/oak/projects/neuro-variants/variant_position/credible/roussos_2024/variant_figures/roussos_2024.childhood.GLU/rs896350_count_position.png",4,220,900)</f>
        <v/>
      </c>
      <c r="T2297">
        <f>IMAGE("https://mitra.stanford.edu/kundaje/oak/projects/neuro-variants/variant_position/credible/roussos_2024/variant_figures/roussos_2024.childhood.GLU/rs896350_profile_position.png",4,220,900)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-0.0934436686</v>
      </c>
      <c r="G2298" t="n">
        <v>0.0545870666838548</v>
      </c>
      <c r="H2298" t="n">
        <v>0.016649059190567</v>
      </c>
      <c r="I2298" t="n">
        <v>0.1804205615595834</v>
      </c>
      <c r="J2298" t="n">
        <v>0.0113364995312515</v>
      </c>
      <c r="K2298" t="n">
        <v>0.5780374167402668</v>
      </c>
      <c r="L2298" t="b">
        <v>0</v>
      </c>
      <c r="M2298" t="b">
        <v>0</v>
      </c>
      <c r="N2298" t="inlineStr">
        <is>
          <t>ref</t>
        </is>
      </c>
      <c r="O2298" t="n">
        <v>50</v>
      </c>
      <c r="P2298" t="n">
        <v>0.003006</v>
      </c>
      <c r="Q2298" t="n">
        <v>-90</v>
      </c>
      <c r="R2298" t="n">
        <v>0.1307</v>
      </c>
      <c r="S2298">
        <f>IMAGE("https://mitra.stanford.edu/kundaje/oak/projects/neuro-variants/variant_position/credible/roussos_2024/variant_figures/roussos_2024.childhood.GLU/rs2122844_count_position.png",4,220,900)</f>
        <v/>
      </c>
      <c r="T2298">
        <f>IMAGE("https://mitra.stanford.edu/kundaje/oak/projects/neuro-variants/variant_position/credible/roussos_2024/variant_figures/roussos_2024.childhood.GLU/rs2122844_profile_position.png",4,220,900)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-0.00166102616</v>
      </c>
      <c r="G2299" t="n">
        <v>0.7972536368200089</v>
      </c>
      <c r="H2299" t="n">
        <v>0.007948348506361501</v>
      </c>
      <c r="I2299" t="n">
        <v>0.8698022435481121</v>
      </c>
      <c r="J2299" t="n">
        <v>0.0315534630718987</v>
      </c>
      <c r="K2299" t="n">
        <v>0.425314902540567</v>
      </c>
      <c r="L2299" t="b">
        <v>0</v>
      </c>
      <c r="M2299" t="b">
        <v>0</v>
      </c>
      <c r="N2299" t="inlineStr">
        <is>
          <t>ref</t>
        </is>
      </c>
      <c r="O2299" t="n">
        <v>45</v>
      </c>
      <c r="P2299" t="n">
        <v>0.003193</v>
      </c>
      <c r="Q2299" t="n">
        <v>-90</v>
      </c>
      <c r="R2299" t="n">
        <v>0.1445</v>
      </c>
      <c r="S2299">
        <f>IMAGE("https://mitra.stanford.edu/kundaje/oak/projects/neuro-variants/variant_position/credible/roussos_2024/variant_figures/roussos_2024.childhood.GLU/rs281760_count_position.png",4,220,900)</f>
        <v/>
      </c>
      <c r="T2299">
        <f>IMAGE("https://mitra.stanford.edu/kundaje/oak/projects/neuro-variants/variant_position/credible/roussos_2024/variant_figures/roussos_2024.childhood.GLU/rs281760_profile_position.png",4,220,900)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-0.0331332774</v>
      </c>
      <c r="G2300" t="n">
        <v>0.3212606612241839</v>
      </c>
      <c r="H2300" t="n">
        <v>0.0195154162307554</v>
      </c>
      <c r="I2300" t="n">
        <v>0.1064886069248905</v>
      </c>
      <c r="J2300" t="n">
        <v>0.0104865711312804</v>
      </c>
      <c r="K2300" t="n">
        <v>0.5859964577034087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0.01377</v>
      </c>
      <c r="Q2300" t="n">
        <v>100</v>
      </c>
      <c r="R2300" t="n">
        <v>0.06238</v>
      </c>
      <c r="S2300">
        <f>IMAGE("https://mitra.stanford.edu/kundaje/oak/projects/neuro-variants/variant_position/credible/roussos_2024/variant_figures/roussos_2024.childhood.GLU/rs176008_count_position.png",4,220,900)</f>
        <v/>
      </c>
      <c r="T2300">
        <f>IMAGE("https://mitra.stanford.edu/kundaje/oak/projects/neuro-variants/variant_position/credible/roussos_2024/variant_figures/roussos_2024.childhood.GLU/rs176008_profile_position.png",4,220,900)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-0.00148362908</v>
      </c>
      <c r="G2301" t="n">
        <v>0.4185871661559093</v>
      </c>
      <c r="H2301" t="n">
        <v>0.016740218427765</v>
      </c>
      <c r="I2301" t="n">
        <v>0.1791090591243658</v>
      </c>
      <c r="J2301" t="n">
        <v>0.7366035830920911</v>
      </c>
      <c r="K2301" t="n">
        <v>0.0115950857052977</v>
      </c>
      <c r="L2301" t="b">
        <v>0</v>
      </c>
      <c r="M2301" t="b">
        <v>0</v>
      </c>
      <c r="N2301" t="inlineStr">
        <is>
          <t>ref</t>
        </is>
      </c>
      <c r="O2301" t="n">
        <v>-100</v>
      </c>
      <c r="P2301" t="n">
        <v>0.010765</v>
      </c>
      <c r="Q2301" t="n">
        <v>80</v>
      </c>
      <c r="R2301" t="n">
        <v>0.1426</v>
      </c>
      <c r="S2301">
        <f>IMAGE("https://mitra.stanford.edu/kundaje/oak/projects/neuro-variants/variant_position/credible/roussos_2024/variant_figures/roussos_2024.childhood.GLU/rs281766_count_position.png",4,220,900)</f>
        <v/>
      </c>
      <c r="T2301">
        <f>IMAGE("https://mitra.stanford.edu/kundaje/oak/projects/neuro-variants/variant_position/credible/roussos_2024/variant_figures/roussos_2024.childhood.GLU/rs281766_profile_position.png",4,220,900)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-0.1270151952</v>
      </c>
      <c r="G2302" t="n">
        <v>0.0263862691650395</v>
      </c>
      <c r="H2302" t="n">
        <v>0.0183948772564219</v>
      </c>
      <c r="I2302" t="n">
        <v>0.1326319548391404</v>
      </c>
      <c r="J2302" t="n">
        <v>0.0005573469871325</v>
      </c>
      <c r="K2302" t="n">
        <v>0.8607380879903288</v>
      </c>
      <c r="L2302" t="b">
        <v>0</v>
      </c>
      <c r="M2302" t="b">
        <v>0</v>
      </c>
      <c r="N2302" t="inlineStr">
        <is>
          <t>ref</t>
        </is>
      </c>
      <c r="O2302" t="n">
        <v>10</v>
      </c>
      <c r="P2302" t="n">
        <v>0.0003624</v>
      </c>
      <c r="Q2302" t="n">
        <v>-35</v>
      </c>
      <c r="R2302" t="n">
        <v>0.04065</v>
      </c>
      <c r="S2302">
        <f>IMAGE("https://mitra.stanford.edu/kundaje/oak/projects/neuro-variants/variant_position/credible/roussos_2024/variant_figures/roussos_2024.childhood.GLU/rs10178177_count_position.png",4,220,900)</f>
        <v/>
      </c>
      <c r="T2302">
        <f>IMAGE("https://mitra.stanford.edu/kundaje/oak/projects/neuro-variants/variant_position/credible/roussos_2024/variant_figures/roussos_2024.childhood.GLU/rs10178177_profile_position.png",4,220,900)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-0.115308341</v>
      </c>
      <c r="G2303" t="n">
        <v>0.0337991979656938</v>
      </c>
      <c r="H2303" t="n">
        <v>0.011264983174458</v>
      </c>
      <c r="I2303" t="n">
        <v>0.5060764792408452</v>
      </c>
      <c r="J2303" t="n">
        <v>0.0261304047719615</v>
      </c>
      <c r="K2303" t="n">
        <v>0.4767559110844268</v>
      </c>
      <c r="L2303" t="b">
        <v>0</v>
      </c>
      <c r="M2303" t="b">
        <v>0</v>
      </c>
      <c r="N2303" t="inlineStr">
        <is>
          <t>ref</t>
        </is>
      </c>
      <c r="O2303" t="n">
        <v>75</v>
      </c>
      <c r="P2303" t="n">
        <v>0.00717</v>
      </c>
      <c r="Q2303" t="n">
        <v>-70</v>
      </c>
      <c r="R2303" t="n">
        <v>0.0564</v>
      </c>
      <c r="S2303">
        <f>IMAGE("https://mitra.stanford.edu/kundaje/oak/projects/neuro-variants/variant_position/credible/roussos_2024/variant_figures/roussos_2024.childhood.GLU/rs281793_count_position.png",4,220,900)</f>
        <v/>
      </c>
      <c r="T2303">
        <f>IMAGE("https://mitra.stanford.edu/kundaje/oak/projects/neuro-variants/variant_position/credible/roussos_2024/variant_figures/roussos_2024.childhood.GLU/rs281793_profile_position.png",4,220,900)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-0.02808308976</v>
      </c>
      <c r="G2304" t="n">
        <v>0.3494787686542387</v>
      </c>
      <c r="H2304" t="n">
        <v>0.0126612005193183</v>
      </c>
      <c r="I2304" t="n">
        <v>0.3985140110965356</v>
      </c>
      <c r="J2304" t="n">
        <v>0.0275799190250033</v>
      </c>
      <c r="K2304" t="n">
        <v>0.453769769842274</v>
      </c>
      <c r="L2304" t="b">
        <v>0</v>
      </c>
      <c r="M2304" t="b">
        <v>0</v>
      </c>
      <c r="N2304" t="inlineStr">
        <is>
          <t>ref</t>
        </is>
      </c>
      <c r="O2304" t="n">
        <v>-10</v>
      </c>
      <c r="P2304" t="n">
        <v>0.000702</v>
      </c>
      <c r="Q2304" t="n">
        <v>100</v>
      </c>
      <c r="R2304" t="n">
        <v>0.01617</v>
      </c>
      <c r="S2304">
        <f>IMAGE("https://mitra.stanford.edu/kundaje/oak/projects/neuro-variants/variant_position/credible/roussos_2024/variant_figures/roussos_2024.childhood.GLU/rs2202922_count_position.png",4,220,900)</f>
        <v/>
      </c>
      <c r="T2304">
        <f>IMAGE("https://mitra.stanford.edu/kundaje/oak/projects/neuro-variants/variant_position/credible/roussos_2024/variant_figures/roussos_2024.childhood.GLU/rs2202922_profile_position.png",4,220,900)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0.0302849602</v>
      </c>
      <c r="G2305" t="n">
        <v>0.3291988935105794</v>
      </c>
      <c r="H2305" t="n">
        <v>0.02429507189293</v>
      </c>
      <c r="I2305" t="n">
        <v>0.0479611935754815</v>
      </c>
      <c r="J2305" t="n">
        <v>0.008024354311969999</v>
      </c>
      <c r="K2305" t="n">
        <v>0.6140913205189713</v>
      </c>
      <c r="L2305" t="b">
        <v>0</v>
      </c>
      <c r="M2305" t="b">
        <v>0</v>
      </c>
      <c r="N2305" t="inlineStr">
        <is>
          <t>alt</t>
        </is>
      </c>
      <c r="O2305" t="n">
        <v>-30</v>
      </c>
      <c r="P2305" t="n">
        <v>0.002167</v>
      </c>
      <c r="Q2305" t="n">
        <v>-95</v>
      </c>
      <c r="R2305" t="n">
        <v>0.0859</v>
      </c>
      <c r="S2305">
        <f>IMAGE("https://mitra.stanford.edu/kundaje/oak/projects/neuro-variants/variant_position/credible/roussos_2024/variant_figures/roussos_2024.childhood.GLU/rs3106089_count_position.png",4,220,900)</f>
        <v/>
      </c>
      <c r="T2305">
        <f>IMAGE("https://mitra.stanford.edu/kundaje/oak/projects/neuro-variants/variant_position/credible/roussos_2024/variant_figures/roussos_2024.childhood.GLU/rs3106089_profile_position.png",4,220,900)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-0.00876379612</v>
      </c>
      <c r="G2306" t="n">
        <v>0.6893155736003943</v>
      </c>
      <c r="H2306" t="n">
        <v>0.0176529181545021</v>
      </c>
      <c r="I2306" t="n">
        <v>0.1482631621442208</v>
      </c>
      <c r="J2306" t="n">
        <v>0.0104690574551597</v>
      </c>
      <c r="K2306" t="n">
        <v>0.5862848172296471</v>
      </c>
      <c r="L2306" t="b">
        <v>0</v>
      </c>
      <c r="M2306" t="b">
        <v>0</v>
      </c>
      <c r="N2306" t="inlineStr">
        <is>
          <t>ref</t>
        </is>
      </c>
      <c r="O2306" t="n">
        <v>100</v>
      </c>
      <c r="P2306" t="n">
        <v>0.01412</v>
      </c>
      <c r="Q2306" t="n">
        <v>80</v>
      </c>
      <c r="R2306" t="n">
        <v>0.05994</v>
      </c>
      <c r="S2306">
        <f>IMAGE("https://mitra.stanford.edu/kundaje/oak/projects/neuro-variants/variant_position/credible/roussos_2024/variant_figures/roussos_2024.childhood.GLU/rs1509830_count_position.png",4,220,900)</f>
        <v/>
      </c>
      <c r="T2306">
        <f>IMAGE("https://mitra.stanford.edu/kundaje/oak/projects/neuro-variants/variant_position/credible/roussos_2024/variant_figures/roussos_2024.childhood.GLU/rs1509830_profile_position.png",4,220,900)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-0.0148126481</v>
      </c>
      <c r="G2307" t="n">
        <v>0.5565590653503281</v>
      </c>
      <c r="H2307" t="n">
        <v>0.0152885983473586</v>
      </c>
      <c r="I2307" t="n">
        <v>0.2345818141207351</v>
      </c>
      <c r="J2307" t="n">
        <v>0.0501365036521165</v>
      </c>
      <c r="K2307" t="n">
        <v>0.3482786978204232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0.0653</v>
      </c>
      <c r="Q2307" t="n">
        <v>45</v>
      </c>
      <c r="R2307" t="n">
        <v>0.0798</v>
      </c>
      <c r="S2307">
        <f>IMAGE("https://mitra.stanford.edu/kundaje/oak/projects/neuro-variants/variant_position/credible/roussos_2024/variant_figures/roussos_2024.childhood.GLU/rs2079196_count_position.png",4,220,900)</f>
        <v/>
      </c>
      <c r="T2307">
        <f>IMAGE("https://mitra.stanford.edu/kundaje/oak/projects/neuro-variants/variant_position/credible/roussos_2024/variant_figures/roussos_2024.childhood.GLU/rs2079196_profile_position.png",4,220,900)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0.089316861</v>
      </c>
      <c r="G2308" t="n">
        <v>0.07197839380903601</v>
      </c>
      <c r="H2308" t="n">
        <v>0.0204014717040502</v>
      </c>
      <c r="I2308" t="n">
        <v>0.0944527697083125</v>
      </c>
      <c r="J2308" t="n">
        <v>0.0016091977706119</v>
      </c>
      <c r="K2308" t="n">
        <v>0.7817494697674227</v>
      </c>
      <c r="L2308" t="b">
        <v>0</v>
      </c>
      <c r="M2308" t="b">
        <v>0</v>
      </c>
      <c r="N2308" t="inlineStr">
        <is>
          <t>alt</t>
        </is>
      </c>
      <c r="O2308" t="n">
        <v>75</v>
      </c>
      <c r="P2308" t="n">
        <v>0.005394</v>
      </c>
      <c r="Q2308" t="n">
        <v>45</v>
      </c>
      <c r="R2308" t="n">
        <v>0.08575000000000001</v>
      </c>
      <c r="S2308">
        <f>IMAGE("https://mitra.stanford.edu/kundaje/oak/projects/neuro-variants/variant_position/credible/roussos_2024/variant_figures/roussos_2024.childhood.GLU/rs3115414_count_position.png",4,220,900)</f>
        <v/>
      </c>
      <c r="T2308">
        <f>IMAGE("https://mitra.stanford.edu/kundaje/oak/projects/neuro-variants/variant_position/credible/roussos_2024/variant_figures/roussos_2024.childhood.GLU/rs3115414_profile_position.png",4,220,900)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0.0692551876</v>
      </c>
      <c r="G2309" t="n">
        <v>0.08819863567745501</v>
      </c>
      <c r="H2309" t="n">
        <v>0.0274366959460398</v>
      </c>
      <c r="I2309" t="n">
        <v>0.0335793500853523</v>
      </c>
      <c r="J2309" t="n">
        <v>0.2897102001710158</v>
      </c>
      <c r="K2309" t="n">
        <v>0.101419081059424</v>
      </c>
      <c r="L2309" t="b">
        <v>0</v>
      </c>
      <c r="M2309" t="b">
        <v>0</v>
      </c>
      <c r="N2309" t="inlineStr">
        <is>
          <t>alt</t>
        </is>
      </c>
      <c r="O2309" t="n">
        <v>-50</v>
      </c>
      <c r="P2309" t="n">
        <v>0.01666</v>
      </c>
      <c r="Q2309" t="n">
        <v>-10</v>
      </c>
      <c r="R2309" t="n">
        <v>0.08790000000000001</v>
      </c>
      <c r="S2309">
        <f>IMAGE("https://mitra.stanford.edu/kundaje/oak/projects/neuro-variants/variant_position/credible/roussos_2024/variant_figures/roussos_2024.childhood.GLU/rs76568708_count_position.png",4,220,900)</f>
        <v/>
      </c>
      <c r="T2309">
        <f>IMAGE("https://mitra.stanford.edu/kundaje/oak/projects/neuro-variants/variant_position/credible/roussos_2024/variant_figures/roussos_2024.childhood.GLU/rs76568708_profile_position.png",4,220,900)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-0.0548730321999999</v>
      </c>
      <c r="G2310" t="n">
        <v>0.1857000902509416</v>
      </c>
      <c r="H2310" t="n">
        <v>0.0120173019178081</v>
      </c>
      <c r="I2310" t="n">
        <v>0.4570338087431811</v>
      </c>
      <c r="J2310" t="n">
        <v>0.0640567855192804</v>
      </c>
      <c r="K2310" t="n">
        <v>0.3183424816135571</v>
      </c>
      <c r="L2310" t="b">
        <v>0</v>
      </c>
      <c r="M2310" t="b">
        <v>0</v>
      </c>
      <c r="N2310" t="inlineStr">
        <is>
          <t>ref</t>
        </is>
      </c>
      <c r="O2310" t="n">
        <v>95</v>
      </c>
      <c r="P2310" t="n">
        <v>0.001524</v>
      </c>
      <c r="Q2310" t="n">
        <v>65</v>
      </c>
      <c r="R2310" t="n">
        <v>0.02246</v>
      </c>
      <c r="S2310">
        <f>IMAGE("https://mitra.stanford.edu/kundaje/oak/projects/neuro-variants/variant_position/credible/roussos_2024/variant_figures/roussos_2024.childhood.GLU/rs10931887_count_position.png",4,220,900)</f>
        <v/>
      </c>
      <c r="T2310">
        <f>IMAGE("https://mitra.stanford.edu/kundaje/oak/projects/neuro-variants/variant_position/credible/roussos_2024/variant_figures/roussos_2024.childhood.GLU/rs10931887_profile_position.png",4,220,900)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-0.19376968</v>
      </c>
      <c r="G2311" t="n">
        <v>0.007972428661536701</v>
      </c>
      <c r="H2311" t="n">
        <v>0.0339259381105874</v>
      </c>
      <c r="I2311" t="n">
        <v>0.0132367962702587</v>
      </c>
      <c r="J2311" t="n">
        <v>0.0044989543305139</v>
      </c>
      <c r="K2311" t="n">
        <v>0.7227019918824862</v>
      </c>
      <c r="L2311" t="b">
        <v>1</v>
      </c>
      <c r="M2311" t="b">
        <v>1</v>
      </c>
      <c r="N2311" t="inlineStr">
        <is>
          <t>ref</t>
        </is>
      </c>
      <c r="O2311" t="n">
        <v>-95</v>
      </c>
      <c r="P2311" t="n">
        <v>0.00595</v>
      </c>
      <c r="Q2311" t="n">
        <v>30</v>
      </c>
      <c r="R2311" t="n">
        <v>0.07965</v>
      </c>
      <c r="S2311">
        <f>IMAGE("https://mitra.stanford.edu/kundaje/oak/projects/neuro-variants/variant_position/credible/roussos_2024/variant_figures/roussos_2024.childhood.GLU/rs112403441_count_position.png",4,220,900)</f>
        <v/>
      </c>
      <c r="T2311">
        <f>IMAGE("https://mitra.stanford.edu/kundaje/oak/projects/neuro-variants/variant_position/credible/roussos_2024/variant_figures/roussos_2024.childhood.GLU/rs112403441_profile_position.png",4,220,900)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-0.010029836752</v>
      </c>
      <c r="G2312" t="n">
        <v>0.6719947911633305</v>
      </c>
      <c r="H2312" t="n">
        <v>0.034453368869707</v>
      </c>
      <c r="I2312" t="n">
        <v>0.0119505199234388</v>
      </c>
      <c r="J2312" t="n">
        <v>0.0043928420575478</v>
      </c>
      <c r="K2312" t="n">
        <v>0.6852324771923703</v>
      </c>
      <c r="L2312" t="b">
        <v>0</v>
      </c>
      <c r="M2312" t="b">
        <v>0</v>
      </c>
      <c r="N2312" t="inlineStr">
        <is>
          <t>ref</t>
        </is>
      </c>
      <c r="O2312" t="n">
        <v>-100</v>
      </c>
      <c r="P2312" t="n">
        <v>0.005318</v>
      </c>
      <c r="Q2312" t="n">
        <v>-45</v>
      </c>
      <c r="R2312" t="n">
        <v>0.02771</v>
      </c>
      <c r="S2312">
        <f>IMAGE("https://mitra.stanford.edu/kundaje/oak/projects/neuro-variants/variant_position/credible/roussos_2024/variant_figures/roussos_2024.childhood.GLU/rs74266489_count_position.png",4,220,900)</f>
        <v/>
      </c>
      <c r="T2312">
        <f>IMAGE("https://mitra.stanford.edu/kundaje/oak/projects/neuro-variants/variant_position/credible/roussos_2024/variant_figures/roussos_2024.childhood.GLU/rs74266489_profile_position.png",4,220,900)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-0.0170077571999999</v>
      </c>
      <c r="G2313" t="n">
        <v>0.4955142210802365</v>
      </c>
      <c r="H2313" t="n">
        <v>0.009712205002830199</v>
      </c>
      <c r="I2313" t="n">
        <v>0.7009686356738447</v>
      </c>
      <c r="J2313" t="n">
        <v>0.0602491062874096</v>
      </c>
      <c r="K2313" t="n">
        <v>0.3213204191014394</v>
      </c>
      <c r="L2313" t="b">
        <v>0</v>
      </c>
      <c r="M2313" t="b">
        <v>0</v>
      </c>
      <c r="N2313" t="inlineStr">
        <is>
          <t>ref</t>
        </is>
      </c>
      <c r="O2313" t="n">
        <v>5</v>
      </c>
      <c r="P2313" t="n">
        <v>5.15e-05</v>
      </c>
      <c r="Q2313" t="n">
        <v>-85</v>
      </c>
      <c r="R2313" t="n">
        <v>0.03027</v>
      </c>
      <c r="S2313">
        <f>IMAGE("https://mitra.stanford.edu/kundaje/oak/projects/neuro-variants/variant_position/credible/roussos_2024/variant_figures/roussos_2024.childhood.GLU/rs11684942_count_position.png",4,220,900)</f>
        <v/>
      </c>
      <c r="T2313">
        <f>IMAGE("https://mitra.stanford.edu/kundaje/oak/projects/neuro-variants/variant_position/credible/roussos_2024/variant_figures/roussos_2024.childhood.GLU/rs11684942_profile_position.png",4,220,900)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-0.0097080862</v>
      </c>
      <c r="G2314" t="n">
        <v>0.2931622071533228</v>
      </c>
      <c r="H2314" t="n">
        <v>0.0100736181080268</v>
      </c>
      <c r="I2314" t="n">
        <v>0.6568203151188232</v>
      </c>
      <c r="J2314" t="n">
        <v>0.0616821370805731</v>
      </c>
      <c r="K2314" t="n">
        <v>0.3166815587292831</v>
      </c>
      <c r="L2314" t="b">
        <v>0</v>
      </c>
      <c r="M2314" t="b">
        <v>0</v>
      </c>
      <c r="N2314" t="inlineStr">
        <is>
          <t>ref</t>
        </is>
      </c>
      <c r="O2314" t="n">
        <v>-45</v>
      </c>
      <c r="P2314" t="n">
        <v>0.03375</v>
      </c>
      <c r="Q2314" t="n">
        <v>100</v>
      </c>
      <c r="R2314" t="n">
        <v>0.1815</v>
      </c>
      <c r="S2314">
        <f>IMAGE("https://mitra.stanford.edu/kundaje/oak/projects/neuro-variants/variant_position/credible/roussos_2024/variant_figures/roussos_2024.childhood.GLU/rs72932296_count_position.png",4,220,900)</f>
        <v/>
      </c>
      <c r="T2314">
        <f>IMAGE("https://mitra.stanford.edu/kundaje/oak/projects/neuro-variants/variant_position/credible/roussos_2024/variant_figures/roussos_2024.childhood.GLU/rs72932296_profile_position.png",4,220,900)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-0.0644383482</v>
      </c>
      <c r="G2315" t="n">
        <v>0.1190207279600531</v>
      </c>
      <c r="H2315" t="n">
        <v>0.0233171249697527</v>
      </c>
      <c r="I2315" t="n">
        <v>0.0586806617762884</v>
      </c>
      <c r="J2315" t="n">
        <v>0.2033358401928564</v>
      </c>
      <c r="K2315" t="n">
        <v>0.1460588640316515</v>
      </c>
      <c r="L2315" t="b">
        <v>0</v>
      </c>
      <c r="M2315" t="b">
        <v>0</v>
      </c>
      <c r="N2315" t="inlineStr">
        <is>
          <t>ref</t>
        </is>
      </c>
      <c r="O2315" t="n">
        <v>45</v>
      </c>
      <c r="P2315" t="n">
        <v>0.007416</v>
      </c>
      <c r="Q2315" t="n">
        <v>90</v>
      </c>
      <c r="R2315" t="n">
        <v>0.1919</v>
      </c>
      <c r="S2315">
        <f>IMAGE("https://mitra.stanford.edu/kundaje/oak/projects/neuro-variants/variant_position/credible/roussos_2024/variant_figures/roussos_2024.childhood.GLU/rs1569178_count_position.png",4,220,900)</f>
        <v/>
      </c>
      <c r="T2315">
        <f>IMAGE("https://mitra.stanford.edu/kundaje/oak/projects/neuro-variants/variant_position/credible/roussos_2024/variant_figures/roussos_2024.childhood.GLU/rs1569178_profile_position.png",4,220,900)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-0.0731450674</v>
      </c>
      <c r="G2316" t="n">
        <v>0.0907766259416049</v>
      </c>
      <c r="H2316" t="n">
        <v>0.0142908920165946</v>
      </c>
      <c r="I2316" t="n">
        <v>0.2836963878236147</v>
      </c>
      <c r="J2316" t="n">
        <v>0.0857397467728476</v>
      </c>
      <c r="K2316" t="n">
        <v>0.2689132449918877</v>
      </c>
      <c r="L2316" t="b">
        <v>0</v>
      </c>
      <c r="M2316" t="b">
        <v>0</v>
      </c>
      <c r="N2316" t="inlineStr">
        <is>
          <t>ref</t>
        </is>
      </c>
      <c r="O2316" t="n">
        <v>95</v>
      </c>
      <c r="P2316" t="n">
        <v>0.00886</v>
      </c>
      <c r="Q2316" t="n">
        <v>15</v>
      </c>
      <c r="R2316" t="n">
        <v>0.006897</v>
      </c>
      <c r="S2316">
        <f>IMAGE("https://mitra.stanford.edu/kundaje/oak/projects/neuro-variants/variant_position/credible/roussos_2024/variant_figures/roussos_2024.childhood.GLU/rs11679676_count_position.png",4,220,900)</f>
        <v/>
      </c>
      <c r="T2316">
        <f>IMAGE("https://mitra.stanford.edu/kundaje/oak/projects/neuro-variants/variant_position/credible/roussos_2024/variant_figures/roussos_2024.childhood.GLU/rs11679676_profile_position.png",4,220,900)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-0.0072347575399999</v>
      </c>
      <c r="G2317" t="n">
        <v>0.7565433258963714</v>
      </c>
      <c r="H2317" t="n">
        <v>0.0246466306023238</v>
      </c>
      <c r="I2317" t="n">
        <v>0.0468227033285658</v>
      </c>
      <c r="J2317" t="n">
        <v>0.0624486179649107</v>
      </c>
      <c r="K2317" t="n">
        <v>0.3165615437299235</v>
      </c>
      <c r="L2317" t="b">
        <v>0</v>
      </c>
      <c r="M2317" t="b">
        <v>0</v>
      </c>
      <c r="N2317" t="inlineStr">
        <is>
          <t>ref</t>
        </is>
      </c>
      <c r="O2317" t="n">
        <v>-60</v>
      </c>
      <c r="P2317" t="n">
        <v>0.02267</v>
      </c>
      <c r="Q2317" t="n">
        <v>90</v>
      </c>
      <c r="R2317" t="n">
        <v>0.06094</v>
      </c>
      <c r="S2317">
        <f>IMAGE("https://mitra.stanford.edu/kundaje/oak/projects/neuro-variants/variant_position/credible/roussos_2024/variant_figures/roussos_2024.childhood.GLU/rs55906940_count_position.png",4,220,900)</f>
        <v/>
      </c>
      <c r="T2317">
        <f>IMAGE("https://mitra.stanford.edu/kundaje/oak/projects/neuro-variants/variant_position/credible/roussos_2024/variant_figures/roussos_2024.childhood.GLU/rs55906940_profile_position.png",4,220,900)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-0.0011478030599999</v>
      </c>
      <c r="G2318" t="n">
        <v>0.6834872229401608</v>
      </c>
      <c r="H2318" t="n">
        <v>0.0190027302408959</v>
      </c>
      <c r="I2318" t="n">
        <v>0.116306098361404</v>
      </c>
      <c r="J2318" t="n">
        <v>0.0014762998753438</v>
      </c>
      <c r="K2318" t="n">
        <v>0.8164729998273665</v>
      </c>
      <c r="L2318" t="b">
        <v>0</v>
      </c>
      <c r="M2318" t="b">
        <v>0</v>
      </c>
      <c r="N2318" t="inlineStr">
        <is>
          <t>ref</t>
        </is>
      </c>
      <c r="O2318" t="n">
        <v>-85</v>
      </c>
      <c r="P2318" t="n">
        <v>0.008865</v>
      </c>
      <c r="Q2318" t="n">
        <v>-90</v>
      </c>
      <c r="R2318" t="n">
        <v>0.1638</v>
      </c>
      <c r="S2318">
        <f>IMAGE("https://mitra.stanford.edu/kundaje/oak/projects/neuro-variants/variant_position/credible/roussos_2024/variant_figures/roussos_2024.childhood.GLU/rs149828043_count_position.png",4,220,900)</f>
        <v/>
      </c>
      <c r="T2318">
        <f>IMAGE("https://mitra.stanford.edu/kundaje/oak/projects/neuro-variants/variant_position/credible/roussos_2024/variant_figures/roussos_2024.childhood.GLU/rs149828043_profile_position.png",4,220,900)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-0.001721180942</v>
      </c>
      <c r="G2319" t="n">
        <v>0.7916330805555551</v>
      </c>
      <c r="H2319" t="n">
        <v>0.0212937191946461</v>
      </c>
      <c r="I2319" t="n">
        <v>0.077674109673981</v>
      </c>
      <c r="J2319" t="n">
        <v>0.0532683610289799</v>
      </c>
      <c r="K2319" t="n">
        <v>0.3454390405286377</v>
      </c>
      <c r="L2319" t="b">
        <v>0</v>
      </c>
      <c r="M2319" t="b">
        <v>0</v>
      </c>
      <c r="N2319" t="inlineStr">
        <is>
          <t>ref</t>
        </is>
      </c>
      <c r="O2319" t="n">
        <v>100</v>
      </c>
      <c r="P2319" t="n">
        <v>0.00906</v>
      </c>
      <c r="Q2319" t="n">
        <v>-30</v>
      </c>
      <c r="R2319" t="n">
        <v>0.04413</v>
      </c>
      <c r="S2319">
        <f>IMAGE("https://mitra.stanford.edu/kundaje/oak/projects/neuro-variants/variant_position/credible/roussos_2024/variant_figures/roussos_2024.childhood.GLU/rs77089299_count_position.png",4,220,900)</f>
        <v/>
      </c>
      <c r="T2319">
        <f>IMAGE("https://mitra.stanford.edu/kundaje/oak/projects/neuro-variants/variant_position/credible/roussos_2024/variant_figures/roussos_2024.childhood.GLU/rs77089299_profile_position.png",4,220,900)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0.077646964</v>
      </c>
      <c r="G2320" t="n">
        <v>0.0830225607137048</v>
      </c>
      <c r="H2320" t="n">
        <v>0.0133660959381455</v>
      </c>
      <c r="I2320" t="n">
        <v>0.341899548097495</v>
      </c>
      <c r="J2320" t="n">
        <v>0.0064017637302069</v>
      </c>
      <c r="K2320" t="n">
        <v>0.6544338775349723</v>
      </c>
      <c r="L2320" t="b">
        <v>0</v>
      </c>
      <c r="M2320" t="b">
        <v>0</v>
      </c>
      <c r="N2320" t="inlineStr">
        <is>
          <t>alt</t>
        </is>
      </c>
      <c r="O2320" t="n">
        <v>-60</v>
      </c>
      <c r="P2320" t="n">
        <v>0.003805</v>
      </c>
      <c r="Q2320" t="n">
        <v>100</v>
      </c>
      <c r="R2320" t="n">
        <v>0.06859999999999999</v>
      </c>
      <c r="S2320">
        <f>IMAGE("https://mitra.stanford.edu/kundaje/oak/projects/neuro-variants/variant_position/credible/roussos_2024/variant_figures/roussos_2024.childhood.GLU/rs66621598_count_position.png",4,220,900)</f>
        <v/>
      </c>
      <c r="T2320">
        <f>IMAGE("https://mitra.stanford.edu/kundaje/oak/projects/neuro-variants/variant_position/credible/roussos_2024/variant_figures/roussos_2024.childhood.GLU/rs66621598_profile_position.png",4,220,900)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-0.0575398206</v>
      </c>
      <c r="G2321" t="n">
        <v>0.1533252492634771</v>
      </c>
      <c r="H2321" t="n">
        <v>0.0342279919366849</v>
      </c>
      <c r="I2321" t="n">
        <v>0.0139130586282483</v>
      </c>
      <c r="J2321" t="n">
        <v>0.0372072898101311</v>
      </c>
      <c r="K2321" t="n">
        <v>0.4043781475680199</v>
      </c>
      <c r="L2321" t="b">
        <v>1</v>
      </c>
      <c r="M2321" t="b">
        <v>0</v>
      </c>
      <c r="N2321" t="inlineStr">
        <is>
          <t>ref</t>
        </is>
      </c>
      <c r="O2321" t="n">
        <v>5</v>
      </c>
      <c r="P2321" t="n">
        <v>0.0004578</v>
      </c>
      <c r="Q2321" t="n">
        <v>100</v>
      </c>
      <c r="R2321" t="n">
        <v>0.10986</v>
      </c>
      <c r="S2321">
        <f>IMAGE("https://mitra.stanford.edu/kundaje/oak/projects/neuro-variants/variant_position/credible/roussos_2024/variant_figures/roussos_2024.childhood.GLU/rs4673871_count_position.png",4,220,900)</f>
        <v/>
      </c>
      <c r="T2321">
        <f>IMAGE("https://mitra.stanford.edu/kundaje/oak/projects/neuro-variants/variant_position/credible/roussos_2024/variant_figures/roussos_2024.childhood.GLU/rs4673871_profile_position.png",4,220,900)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-0.141081008</v>
      </c>
      <c r="G2322" t="n">
        <v>0.0227475924844117</v>
      </c>
      <c r="H2322" t="n">
        <v>0.0312803448613334</v>
      </c>
      <c r="I2322" t="n">
        <v>0.0198600573561272</v>
      </c>
      <c r="J2322" t="n">
        <v>0.0429198388741796</v>
      </c>
      <c r="K2322" t="n">
        <v>0.3818693480213043</v>
      </c>
      <c r="L2322" t="b">
        <v>1</v>
      </c>
      <c r="M2322" t="b">
        <v>0</v>
      </c>
      <c r="N2322" t="inlineStr">
        <is>
          <t>ref</t>
        </is>
      </c>
      <c r="O2322" t="n">
        <v>-80</v>
      </c>
      <c r="P2322" t="n">
        <v>0.011765</v>
      </c>
      <c r="Q2322" t="n">
        <v>40</v>
      </c>
      <c r="R2322" t="n">
        <v>0.06604</v>
      </c>
      <c r="S2322">
        <f>IMAGE("https://mitra.stanford.edu/kundaje/oak/projects/neuro-variants/variant_position/credible/roussos_2024/variant_figures/roussos_2024.childhood.GLU/rs11688415_count_position.png",4,220,900)</f>
        <v/>
      </c>
      <c r="T2322">
        <f>IMAGE("https://mitra.stanford.edu/kundaje/oak/projects/neuro-variants/variant_position/credible/roussos_2024/variant_figures/roussos_2024.childhood.GLU/rs11688415_profile_position.png",4,220,900)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-0.0418569692</v>
      </c>
      <c r="G2323" t="n">
        <v>0.256244957149878</v>
      </c>
      <c r="H2323" t="n">
        <v>0.0101513146660069</v>
      </c>
      <c r="I2323" t="n">
        <v>0.634006860961896</v>
      </c>
      <c r="J2323" t="n">
        <v>0.0165607260964075</v>
      </c>
      <c r="K2323" t="n">
        <v>0.5406909785659763</v>
      </c>
      <c r="L2323" t="b">
        <v>0</v>
      </c>
      <c r="M2323" t="b">
        <v>0</v>
      </c>
      <c r="N2323" t="inlineStr">
        <is>
          <t>ref</t>
        </is>
      </c>
      <c r="O2323" t="n">
        <v>100</v>
      </c>
      <c r="P2323" t="n">
        <v>0.007618</v>
      </c>
      <c r="Q2323" t="n">
        <v>100</v>
      </c>
      <c r="R2323" t="n">
        <v>0.2151</v>
      </c>
      <c r="S2323">
        <f>IMAGE("https://mitra.stanford.edu/kundaje/oak/projects/neuro-variants/variant_position/credible/roussos_2024/variant_figures/roussos_2024.childhood.GLU/rs55826210_count_position.png",4,220,900)</f>
        <v/>
      </c>
      <c r="T2323">
        <f>IMAGE("https://mitra.stanford.edu/kundaje/oak/projects/neuro-variants/variant_position/credible/roussos_2024/variant_figures/roussos_2024.childhood.GLU/rs55826210_profile_position.png",4,220,900)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-0.00365279342</v>
      </c>
      <c r="G2324" t="n">
        <v>0.8166083222804708</v>
      </c>
      <c r="H2324" t="n">
        <v>0.0246457088006798</v>
      </c>
      <c r="I2324" t="n">
        <v>0.0459761641615378</v>
      </c>
      <c r="J2324" t="n">
        <v>0.0066387134659564</v>
      </c>
      <c r="K2324" t="n">
        <v>0.6447057681075524</v>
      </c>
      <c r="L2324" t="b">
        <v>0</v>
      </c>
      <c r="M2324" t="b">
        <v>0</v>
      </c>
      <c r="N2324" t="inlineStr">
        <is>
          <t>ref</t>
        </is>
      </c>
      <c r="O2324" t="n">
        <v>100</v>
      </c>
      <c r="P2324" t="n">
        <v>0.01089</v>
      </c>
      <c r="Q2324" t="n">
        <v>-90</v>
      </c>
      <c r="R2324" t="n">
        <v>0.07729999999999999</v>
      </c>
      <c r="S2324">
        <f>IMAGE("https://mitra.stanford.edu/kundaje/oak/projects/neuro-variants/variant_position/credible/roussos_2024/variant_figures/roussos_2024.childhood.GLU/rs1436162_count_position.png",4,220,900)</f>
        <v/>
      </c>
      <c r="T2324">
        <f>IMAGE("https://mitra.stanford.edu/kundaje/oak/projects/neuro-variants/variant_position/credible/roussos_2024/variant_figures/roussos_2024.childhood.GLU/rs1436162_profile_position.png",4,220,900)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-0.107818874</v>
      </c>
      <c r="G2325" t="n">
        <v>0.0460167219962834</v>
      </c>
      <c r="H2325" t="n">
        <v>0.0347340655944829</v>
      </c>
      <c r="I2325" t="n">
        <v>0.0148934171003745</v>
      </c>
      <c r="J2325" t="n">
        <v>0.1587037819238257</v>
      </c>
      <c r="K2325" t="n">
        <v>0.1784377618588495</v>
      </c>
      <c r="L2325" t="b">
        <v>1</v>
      </c>
      <c r="M2325" t="b">
        <v>0</v>
      </c>
      <c r="N2325" t="inlineStr">
        <is>
          <t>ref</t>
        </is>
      </c>
      <c r="O2325" t="n">
        <v>-90</v>
      </c>
      <c r="P2325" t="n">
        <v>0.01422</v>
      </c>
      <c r="Q2325" t="n">
        <v>100</v>
      </c>
      <c r="R2325" t="n">
        <v>0.168</v>
      </c>
      <c r="S2325">
        <f>IMAGE("https://mitra.stanford.edu/kundaje/oak/projects/neuro-variants/variant_position/credible/roussos_2024/variant_figures/roussos_2024.childhood.GLU/rs3769481_count_position.png",4,220,900)</f>
        <v/>
      </c>
      <c r="T2325">
        <f>IMAGE("https://mitra.stanford.edu/kundaje/oak/projects/neuro-variants/variant_position/credible/roussos_2024/variant_figures/roussos_2024.childhood.GLU/rs3769481_profile_position.png",4,220,900)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-0.00618437712</v>
      </c>
      <c r="G2326" t="n">
        <v>0.5151588084760175</v>
      </c>
      <c r="H2326" t="n">
        <v>0.0139707662686849</v>
      </c>
      <c r="I2326" t="n">
        <v>0.3082617949171626</v>
      </c>
      <c r="J2326" t="n">
        <v>0.0541059268340424</v>
      </c>
      <c r="K2326" t="n">
        <v>0.3363322330875219</v>
      </c>
      <c r="L2326" t="b">
        <v>0</v>
      </c>
      <c r="M2326" t="b">
        <v>0</v>
      </c>
      <c r="N2326" t="inlineStr">
        <is>
          <t>ref</t>
        </is>
      </c>
      <c r="O2326" t="n">
        <v>25</v>
      </c>
      <c r="P2326" t="n">
        <v>0.001068</v>
      </c>
      <c r="Q2326" t="n">
        <v>25</v>
      </c>
      <c r="R2326" t="n">
        <v>0.03296</v>
      </c>
      <c r="S2326">
        <f>IMAGE("https://mitra.stanford.edu/kundaje/oak/projects/neuro-variants/variant_position/credible/roussos_2024/variant_figures/roussos_2024.childhood.GLU/rs17592552_count_position.png",4,220,900)</f>
        <v/>
      </c>
      <c r="T2326">
        <f>IMAGE("https://mitra.stanford.edu/kundaje/oak/projects/neuro-variants/variant_position/credible/roussos_2024/variant_figures/roussos_2024.childhood.GLU/rs17592552_profile_position.png",4,220,900)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-0.175654017</v>
      </c>
      <c r="G2327" t="n">
        <v>0.0133375125162388</v>
      </c>
      <c r="H2327" t="n">
        <v>0.0205737036921494</v>
      </c>
      <c r="I2327" t="n">
        <v>0.09777147749910239</v>
      </c>
      <c r="J2327" t="n">
        <v>0.1087898049800652</v>
      </c>
      <c r="K2327" t="n">
        <v>0.2368902535868345</v>
      </c>
      <c r="L2327" t="b">
        <v>1</v>
      </c>
      <c r="M2327" t="b">
        <v>0</v>
      </c>
      <c r="N2327" t="inlineStr">
        <is>
          <t>ref</t>
        </is>
      </c>
      <c r="O2327" t="n">
        <v>-25</v>
      </c>
      <c r="P2327" t="n">
        <v>0.001282</v>
      </c>
      <c r="Q2327" t="n">
        <v>-5</v>
      </c>
      <c r="R2327" t="n">
        <v>0.001465</v>
      </c>
      <c r="S2327">
        <f>IMAGE("https://mitra.stanford.edu/kundaje/oak/projects/neuro-variants/variant_position/credible/roussos_2024/variant_figures/roussos_2024.childhood.GLU/rs67067836_count_position.png",4,220,900)</f>
        <v/>
      </c>
      <c r="T2327">
        <f>IMAGE("https://mitra.stanford.edu/kundaje/oak/projects/neuro-variants/variant_position/credible/roussos_2024/variant_figures/roussos_2024.childhood.GLU/rs67067836_profile_position.png",4,220,900)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-0.0956509472</v>
      </c>
      <c r="G2328" t="n">
        <v>0.0744956626493342</v>
      </c>
      <c r="H2328" t="n">
        <v>0.0187065601674724</v>
      </c>
      <c r="I2328" t="n">
        <v>0.1324539820873878</v>
      </c>
      <c r="J2328" t="n">
        <v>0.0057630296599255</v>
      </c>
      <c r="K2328" t="n">
        <v>0.6562690061820406</v>
      </c>
      <c r="L2328" t="b">
        <v>0</v>
      </c>
      <c r="M2328" t="b">
        <v>0</v>
      </c>
      <c r="N2328" t="inlineStr">
        <is>
          <t>ref</t>
        </is>
      </c>
      <c r="O2328" t="n">
        <v>-50</v>
      </c>
      <c r="P2328" t="n">
        <v>0.00885</v>
      </c>
      <c r="Q2328" t="n">
        <v>-10</v>
      </c>
      <c r="R2328" t="n">
        <v>0.0199</v>
      </c>
      <c r="S2328">
        <f>IMAGE("https://mitra.stanford.edu/kundaje/oak/projects/neuro-variants/variant_position/credible/roussos_2024/variant_figures/roussos_2024.childhood.GLU/rs3769474_count_position.png",4,220,900)</f>
        <v/>
      </c>
      <c r="T2328">
        <f>IMAGE("https://mitra.stanford.edu/kundaje/oak/projects/neuro-variants/variant_position/credible/roussos_2024/variant_figures/roussos_2024.childhood.GLU/rs3769474_profile_position.png",4,220,900)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-0.02776983516</v>
      </c>
      <c r="G2329" t="n">
        <v>0.3706779669815174</v>
      </c>
      <c r="H2329" t="n">
        <v>0.0203411604751649</v>
      </c>
      <c r="I2329" t="n">
        <v>0.09257132794892239</v>
      </c>
      <c r="J2329" t="n">
        <v>0.0205723881442714</v>
      </c>
      <c r="K2329" t="n">
        <v>0.4969201505771549</v>
      </c>
      <c r="L2329" t="b">
        <v>0</v>
      </c>
      <c r="M2329" t="b">
        <v>0</v>
      </c>
      <c r="N2329" t="inlineStr">
        <is>
          <t>ref</t>
        </is>
      </c>
      <c r="O2329" t="n">
        <v>-90</v>
      </c>
      <c r="P2329" t="n">
        <v>0.0116</v>
      </c>
      <c r="Q2329" t="n">
        <v>-25</v>
      </c>
      <c r="R2329" t="n">
        <v>0.06619999999999999</v>
      </c>
      <c r="S2329">
        <f>IMAGE("https://mitra.stanford.edu/kundaje/oak/projects/neuro-variants/variant_position/credible/roussos_2024/variant_figures/roussos_2024.childhood.GLU/rs295127_count_position.png",4,220,900)</f>
        <v/>
      </c>
      <c r="T2329">
        <f>IMAGE("https://mitra.stanford.edu/kundaje/oak/projects/neuro-variants/variant_position/credible/roussos_2024/variant_figures/roussos_2024.childhood.GLU/rs295127_profile_position.png",4,220,900)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-0.00613828738</v>
      </c>
      <c r="G2330" t="n">
        <v>0.2949291070840914</v>
      </c>
      <c r="H2330" t="n">
        <v>0.0186403187847468</v>
      </c>
      <c r="I2330" t="n">
        <v>0.1322704487297706</v>
      </c>
      <c r="J2330" t="n">
        <v>0.1178598287780604</v>
      </c>
      <c r="K2330" t="n">
        <v>0.2226078037487587</v>
      </c>
      <c r="L2330" t="b">
        <v>0</v>
      </c>
      <c r="M2330" t="b">
        <v>0</v>
      </c>
      <c r="N2330" t="inlineStr">
        <is>
          <t>ref</t>
        </is>
      </c>
      <c r="O2330" t="n">
        <v>25</v>
      </c>
      <c r="P2330" t="n">
        <v>0.002693</v>
      </c>
      <c r="Q2330" t="n">
        <v>-40</v>
      </c>
      <c r="R2330" t="n">
        <v>0.0332</v>
      </c>
      <c r="S2330">
        <f>IMAGE("https://mitra.stanford.edu/kundaje/oak/projects/neuro-variants/variant_position/credible/roussos_2024/variant_figures/roussos_2024.childhood.GLU/rs78412932_count_position.png",4,220,900)</f>
        <v/>
      </c>
      <c r="T2330">
        <f>IMAGE("https://mitra.stanford.edu/kundaje/oak/projects/neuro-variants/variant_position/credible/roussos_2024/variant_figures/roussos_2024.childhood.GLU/rs78412932_profile_position.png",4,220,900)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0.00304955872</v>
      </c>
      <c r="G2331" t="n">
        <v>0.6722207770832469</v>
      </c>
      <c r="H2331" t="n">
        <v>0.02121098147727</v>
      </c>
      <c r="I2331" t="n">
        <v>0.0789867394082589</v>
      </c>
      <c r="J2331" t="n">
        <v>0.0085920034615265</v>
      </c>
      <c r="K2331" t="n">
        <v>0.6241488035129933</v>
      </c>
      <c r="L2331" t="b">
        <v>0</v>
      </c>
      <c r="M2331" t="b">
        <v>0</v>
      </c>
      <c r="N2331" t="inlineStr">
        <is>
          <t>alt</t>
        </is>
      </c>
      <c r="O2331" t="n">
        <v>60</v>
      </c>
      <c r="P2331" t="n">
        <v>0.005203</v>
      </c>
      <c r="Q2331" t="n">
        <v>100</v>
      </c>
      <c r="R2331" t="n">
        <v>0.09279999999999999</v>
      </c>
      <c r="S2331">
        <f>IMAGE("https://mitra.stanford.edu/kundaje/oak/projects/neuro-variants/variant_position/credible/roussos_2024/variant_figures/roussos_2024.childhood.GLU/rs295130_count_position.png",4,220,900)</f>
        <v/>
      </c>
      <c r="T2331">
        <f>IMAGE("https://mitra.stanford.edu/kundaje/oak/projects/neuro-variants/variant_position/credible/roussos_2024/variant_figures/roussos_2024.childhood.GLU/rs295130_profile_position.png",4,220,900)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0.038603643</v>
      </c>
      <c r="G2332" t="n">
        <v>0.2631360580131773</v>
      </c>
      <c r="H2332" t="n">
        <v>0.0287954780384332</v>
      </c>
      <c r="I2332" t="n">
        <v>0.0248983428420169</v>
      </c>
      <c r="J2332" t="n">
        <v>0.0245500530561364</v>
      </c>
      <c r="K2332" t="n">
        <v>0.4597992730940723</v>
      </c>
      <c r="L2332" t="b">
        <v>0</v>
      </c>
      <c r="M2332" t="b">
        <v>0</v>
      </c>
      <c r="N2332" t="inlineStr">
        <is>
          <t>alt</t>
        </is>
      </c>
      <c r="O2332" t="n">
        <v>-90</v>
      </c>
      <c r="P2332" t="n">
        <v>0.00928</v>
      </c>
      <c r="Q2332" t="n">
        <v>95</v>
      </c>
      <c r="R2332" t="n">
        <v>0.06850000000000001</v>
      </c>
      <c r="S2332">
        <f>IMAGE("https://mitra.stanford.edu/kundaje/oak/projects/neuro-variants/variant_position/credible/roussos_2024/variant_figures/roussos_2024.childhood.GLU/rs296789_count_position.png",4,220,900)</f>
        <v/>
      </c>
      <c r="T2332">
        <f>IMAGE("https://mitra.stanford.edu/kundaje/oak/projects/neuro-variants/variant_position/credible/roussos_2024/variant_figures/roussos_2024.childhood.GLU/rs296789_profile_position.png",4,220,900)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0.0050104095</v>
      </c>
      <c r="G2333" t="n">
        <v>0.7487534125141508</v>
      </c>
      <c r="H2333" t="n">
        <v>0.0223093639306696</v>
      </c>
      <c r="I2333" t="n">
        <v>0.0657123330347186</v>
      </c>
      <c r="J2333" t="n">
        <v>0.0015710797696436</v>
      </c>
      <c r="K2333" t="n">
        <v>0.7818011117170748</v>
      </c>
      <c r="L2333" t="b">
        <v>0</v>
      </c>
      <c r="M2333" t="b">
        <v>0</v>
      </c>
      <c r="N2333" t="inlineStr">
        <is>
          <t>alt</t>
        </is>
      </c>
      <c r="O2333" t="n">
        <v>-80</v>
      </c>
      <c r="P2333" t="n">
        <v>0.0171</v>
      </c>
      <c r="Q2333" t="n">
        <v>85</v>
      </c>
      <c r="R2333" t="n">
        <v>0.0906</v>
      </c>
      <c r="S2333">
        <f>IMAGE("https://mitra.stanford.edu/kundaje/oak/projects/neuro-variants/variant_position/credible/roussos_2024/variant_figures/roussos_2024.childhood.GLU/rs3769459_count_position.png",4,220,900)</f>
        <v/>
      </c>
      <c r="T2333">
        <f>IMAGE("https://mitra.stanford.edu/kundaje/oak/projects/neuro-variants/variant_position/credible/roussos_2024/variant_figures/roussos_2024.childhood.GLU/rs3769459_profile_position.png",4,220,900)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-0.00053502793</v>
      </c>
      <c r="G2334" t="n">
        <v>0.8510065296423815</v>
      </c>
      <c r="H2334" t="n">
        <v>0.0218896569620373</v>
      </c>
      <c r="I2334" t="n">
        <v>0.0711347355575308</v>
      </c>
      <c r="J2334" t="n">
        <v>0.0002606447093244</v>
      </c>
      <c r="K2334" t="n">
        <v>0.9012492529919792</v>
      </c>
      <c r="L2334" t="b">
        <v>0</v>
      </c>
      <c r="M2334" t="b">
        <v>0</v>
      </c>
      <c r="N2334" t="inlineStr">
        <is>
          <t>ref</t>
        </is>
      </c>
      <c r="O2334" t="n">
        <v>-35</v>
      </c>
      <c r="P2334" t="n">
        <v>0.008514000000000001</v>
      </c>
      <c r="Q2334" t="n">
        <v>100</v>
      </c>
      <c r="R2334" t="n">
        <v>0.03067</v>
      </c>
      <c r="S2334">
        <f>IMAGE("https://mitra.stanford.edu/kundaje/oak/projects/neuro-variants/variant_position/credible/roussos_2024/variant_figures/roussos_2024.childhood.GLU/rs3791705_count_position.png",4,220,900)</f>
        <v/>
      </c>
      <c r="T2334">
        <f>IMAGE("https://mitra.stanford.edu/kundaje/oak/projects/neuro-variants/variant_position/credible/roussos_2024/variant_figures/roussos_2024.childhood.GLU/rs3791705_profile_position.png",4,220,900)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-0.0554611488</v>
      </c>
      <c r="G2335" t="n">
        <v>0.1690900710779382</v>
      </c>
      <c r="H2335" t="n">
        <v>0.0249474735737256</v>
      </c>
      <c r="I2335" t="n">
        <v>0.0469113034991055</v>
      </c>
      <c r="J2335" t="n">
        <v>0.1148928059999793</v>
      </c>
      <c r="K2335" t="n">
        <v>0.2308614800065663</v>
      </c>
      <c r="L2335" t="b">
        <v>0</v>
      </c>
      <c r="M2335" t="b">
        <v>0</v>
      </c>
      <c r="N2335" t="inlineStr">
        <is>
          <t>ref</t>
        </is>
      </c>
      <c r="O2335" t="n">
        <v>-5</v>
      </c>
      <c r="P2335" t="n">
        <v>0.002075</v>
      </c>
      <c r="Q2335" t="n">
        <v>-5</v>
      </c>
      <c r="R2335" t="n">
        <v>0.04712</v>
      </c>
      <c r="S2335">
        <f>IMAGE("https://mitra.stanford.edu/kundaje/oak/projects/neuro-variants/variant_position/credible/roussos_2024/variant_figures/roussos_2024.childhood.GLU/rs6738323_count_position.png",4,220,900)</f>
        <v/>
      </c>
      <c r="T2335">
        <f>IMAGE("https://mitra.stanford.edu/kundaje/oak/projects/neuro-variants/variant_position/credible/roussos_2024/variant_figures/roussos_2024.childhood.GLU/rs6738323_profile_position.png",4,220,900)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-0.186661496</v>
      </c>
      <c r="G2336" t="n">
        <v>0.0090583270896371</v>
      </c>
      <c r="H2336" t="n">
        <v>0.0463216380566124</v>
      </c>
      <c r="I2336" t="n">
        <v>0.0037480690548904</v>
      </c>
      <c r="J2336" t="n">
        <v>0.7885336932222073</v>
      </c>
      <c r="K2336" t="n">
        <v>0.007899724087083801</v>
      </c>
      <c r="L2336" t="b">
        <v>1</v>
      </c>
      <c r="M2336" t="b">
        <v>1</v>
      </c>
      <c r="N2336" t="inlineStr">
        <is>
          <t>ref</t>
        </is>
      </c>
      <c r="O2336" t="n">
        <v>-95</v>
      </c>
      <c r="P2336" t="n">
        <v>0.01718</v>
      </c>
      <c r="Q2336" t="n">
        <v>30</v>
      </c>
      <c r="R2336" t="n">
        <v>0.04315</v>
      </c>
      <c r="S2336">
        <f>IMAGE("https://mitra.stanford.edu/kundaje/oak/projects/neuro-variants/variant_position/credible/roussos_2024/variant_figures/roussos_2024.childhood.GLU/rs1384292_count_position.png",4,220,900)</f>
        <v/>
      </c>
      <c r="T2336">
        <f>IMAGE("https://mitra.stanford.edu/kundaje/oak/projects/neuro-variants/variant_position/credible/roussos_2024/variant_figures/roussos_2024.childhood.GLU/rs1384292_profile_position.png",4,220,900)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-0.0623602017999999</v>
      </c>
      <c r="G2337" t="n">
        <v>0.1278234490234504</v>
      </c>
      <c r="H2337" t="n">
        <v>0.0162997421852418</v>
      </c>
      <c r="I2337" t="n">
        <v>0.1903914704467554</v>
      </c>
      <c r="J2337" t="n">
        <v>0.8563105895927554</v>
      </c>
      <c r="K2337" t="n">
        <v>0.0041654517957658</v>
      </c>
      <c r="L2337" t="b">
        <v>0</v>
      </c>
      <c r="M2337" t="b">
        <v>0</v>
      </c>
      <c r="N2337" t="inlineStr">
        <is>
          <t>ref</t>
        </is>
      </c>
      <c r="O2337" t="n">
        <v>-25</v>
      </c>
      <c r="P2337" t="n">
        <v>0.001465</v>
      </c>
      <c r="Q2337" t="n">
        <v>-35</v>
      </c>
      <c r="R2337" t="n">
        <v>0.09229999999999999</v>
      </c>
      <c r="S2337">
        <f>IMAGE("https://mitra.stanford.edu/kundaje/oak/projects/neuro-variants/variant_position/credible/roussos_2024/variant_figures/roussos_2024.childhood.GLU/rs6735626_count_position.png",4,220,900)</f>
        <v/>
      </c>
      <c r="T2337">
        <f>IMAGE("https://mitra.stanford.edu/kundaje/oak/projects/neuro-variants/variant_position/credible/roussos_2024/variant_figures/roussos_2024.childhood.GLU/rs6735626_profile_position.png",4,220,900)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0.0471688897999999</v>
      </c>
      <c r="G2338" t="n">
        <v>0.183920948469533</v>
      </c>
      <c r="H2338" t="n">
        <v>0.0111537699786024</v>
      </c>
      <c r="I2338" t="n">
        <v>0.52721891638455</v>
      </c>
      <c r="J2338" t="n">
        <v>0.3526945305819692</v>
      </c>
      <c r="K2338" t="n">
        <v>0.07852287972781349</v>
      </c>
      <c r="L2338" t="b">
        <v>0</v>
      </c>
      <c r="M2338" t="b">
        <v>0</v>
      </c>
      <c r="N2338" t="inlineStr">
        <is>
          <t>alt</t>
        </is>
      </c>
      <c r="O2338" t="n">
        <v>100</v>
      </c>
      <c r="P2338" t="n">
        <v>0.01785</v>
      </c>
      <c r="Q2338" t="n">
        <v>95</v>
      </c>
      <c r="R2338" t="n">
        <v>0.1394</v>
      </c>
      <c r="S2338">
        <f>IMAGE("https://mitra.stanford.edu/kundaje/oak/projects/neuro-variants/variant_position/credible/roussos_2024/variant_figures/roussos_2024.childhood.GLU/rs10182996_count_position.png",4,220,900)</f>
        <v/>
      </c>
      <c r="T2338">
        <f>IMAGE("https://mitra.stanford.edu/kundaje/oak/projects/neuro-variants/variant_position/credible/roussos_2024/variant_figures/roussos_2024.childhood.GLU/rs10182996_profile_position.png",4,220,900)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-0.0413647442</v>
      </c>
      <c r="G2339" t="n">
        <v>0.2441068748048627</v>
      </c>
      <c r="H2339" t="n">
        <v>0.0162264006946691</v>
      </c>
      <c r="I2339" t="n">
        <v>0.1996734405962475</v>
      </c>
      <c r="J2339" t="n">
        <v>0.0004048749832589</v>
      </c>
      <c r="K2339" t="n">
        <v>0.8873651164753468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0.04395</v>
      </c>
      <c r="Q2339" t="n">
        <v>5</v>
      </c>
      <c r="R2339" t="n">
        <v>0.003311</v>
      </c>
      <c r="S2339">
        <f>IMAGE("https://mitra.stanford.edu/kundaje/oak/projects/neuro-variants/variant_position/credible/roussos_2024/variant_figures/roussos_2024.childhood.GLU/rs10207878_count_position.png",4,220,900)</f>
        <v/>
      </c>
      <c r="T2339">
        <f>IMAGE("https://mitra.stanford.edu/kundaje/oak/projects/neuro-variants/variant_position/credible/roussos_2024/variant_figures/roussos_2024.childhood.GLU/rs10207878_profile_position.png",4,220,900)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-0.0004410536</v>
      </c>
      <c r="G2340" t="n">
        <v>0.3846777848236062</v>
      </c>
      <c r="H2340" t="n">
        <v>0.0122896505705972</v>
      </c>
      <c r="I2340" t="n">
        <v>0.4271938721989907</v>
      </c>
      <c r="J2340" t="n">
        <v>0.4763441746422573</v>
      </c>
      <c r="K2340" t="n">
        <v>0.0472037828438659</v>
      </c>
      <c r="L2340" t="b">
        <v>0</v>
      </c>
      <c r="M2340" t="b">
        <v>0</v>
      </c>
      <c r="N2340" t="inlineStr">
        <is>
          <t>ref</t>
        </is>
      </c>
      <c r="O2340" t="n">
        <v>95</v>
      </c>
      <c r="P2340" t="n">
        <v>0.008240000000000001</v>
      </c>
      <c r="Q2340" t="n">
        <v>55</v>
      </c>
      <c r="R2340" t="n">
        <v>0.1514</v>
      </c>
      <c r="S2340">
        <f>IMAGE("https://mitra.stanford.edu/kundaje/oak/projects/neuro-variants/variant_position/credible/roussos_2024/variant_figures/roussos_2024.childhood.GLU/rs1523921_count_position.png",4,220,900)</f>
        <v/>
      </c>
      <c r="T2340">
        <f>IMAGE("https://mitra.stanford.edu/kundaje/oak/projects/neuro-variants/variant_position/credible/roussos_2024/variant_figures/roussos_2024.childhood.GLU/rs1523921_profile_position.png",4,220,900)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0.004103036746</v>
      </c>
      <c r="G2341" t="n">
        <v>0.8148611190705232</v>
      </c>
      <c r="H2341" t="n">
        <v>0.0194624971359856</v>
      </c>
      <c r="I2341" t="n">
        <v>0.1097551876685874</v>
      </c>
      <c r="J2341" t="n">
        <v>0.056272471591787</v>
      </c>
      <c r="K2341" t="n">
        <v>0.333119647338201</v>
      </c>
      <c r="L2341" t="b">
        <v>0</v>
      </c>
      <c r="M2341" t="b">
        <v>0</v>
      </c>
      <c r="N2341" t="inlineStr">
        <is>
          <t>alt</t>
        </is>
      </c>
      <c r="O2341" t="n">
        <v>-100</v>
      </c>
      <c r="P2341" t="n">
        <v>0.01707</v>
      </c>
      <c r="Q2341" t="n">
        <v>-55</v>
      </c>
      <c r="R2341" t="n">
        <v>0.164</v>
      </c>
      <c r="S2341">
        <f>IMAGE("https://mitra.stanford.edu/kundaje/oak/projects/neuro-variants/variant_position/credible/roussos_2024/variant_figures/roussos_2024.childhood.GLU/rs12470077_count_position.png",4,220,900)</f>
        <v/>
      </c>
      <c r="T2341">
        <f>IMAGE("https://mitra.stanford.edu/kundaje/oak/projects/neuro-variants/variant_position/credible/roussos_2024/variant_figures/roussos_2024.childhood.GLU/rs12470077_profile_position.png",4,220,900)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-0.0258515501</v>
      </c>
      <c r="G2342" t="n">
        <v>0.4085533457078757</v>
      </c>
      <c r="H2342" t="n">
        <v>0.017886401895702</v>
      </c>
      <c r="I2342" t="n">
        <v>0.1563008447576958</v>
      </c>
      <c r="J2342" t="n">
        <v>0.00225514335459</v>
      </c>
      <c r="K2342" t="n">
        <v>0.7595719256920745</v>
      </c>
      <c r="L2342" t="b">
        <v>0</v>
      </c>
      <c r="M2342" t="b">
        <v>0</v>
      </c>
      <c r="N2342" t="inlineStr">
        <is>
          <t>ref</t>
        </is>
      </c>
      <c r="O2342" t="n">
        <v>-5</v>
      </c>
      <c r="P2342" t="n">
        <v>0.0002766</v>
      </c>
      <c r="Q2342" t="n">
        <v>-100</v>
      </c>
      <c r="R2342" t="n">
        <v>0.0808</v>
      </c>
      <c r="S2342">
        <f>IMAGE("https://mitra.stanford.edu/kundaje/oak/projects/neuro-variants/variant_position/credible/roussos_2024/variant_figures/roussos_2024.childhood.GLU/rs147137183_count_position.png",4,220,900)</f>
        <v/>
      </c>
      <c r="T2342">
        <f>IMAGE("https://mitra.stanford.edu/kundaje/oak/projects/neuro-variants/variant_position/credible/roussos_2024/variant_figures/roussos_2024.childhood.GLU/rs147137183_profile_position.png",4,220,900)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-0.00403608444</v>
      </c>
      <c r="G2343" t="n">
        <v>0.8209278422169791</v>
      </c>
      <c r="H2343" t="n">
        <v>0.0258805359561762</v>
      </c>
      <c r="I2343" t="n">
        <v>0.0387526404544701</v>
      </c>
      <c r="J2343" t="n">
        <v>0.0314895896648706</v>
      </c>
      <c r="K2343" t="n">
        <v>0.4326362679510034</v>
      </c>
      <c r="L2343" t="b">
        <v>0</v>
      </c>
      <c r="M2343" t="b">
        <v>0</v>
      </c>
      <c r="N2343" t="inlineStr">
        <is>
          <t>ref</t>
        </is>
      </c>
      <c r="O2343" t="n">
        <v>-100</v>
      </c>
      <c r="P2343" t="n">
        <v>0.02484</v>
      </c>
      <c r="Q2343" t="n">
        <v>-65</v>
      </c>
      <c r="R2343" t="n">
        <v>0.0664</v>
      </c>
      <c r="S2343">
        <f>IMAGE("https://mitra.stanford.edu/kundaje/oak/projects/neuro-variants/variant_position/credible/roussos_2024/variant_figures/roussos_2024.childhood.GLU/rs72974238_count_position.png",4,220,900)</f>
        <v/>
      </c>
      <c r="T2343">
        <f>IMAGE("https://mitra.stanford.edu/kundaje/oak/projects/neuro-variants/variant_position/credible/roussos_2024/variant_figures/roussos_2024.childhood.GLU/rs72974238_profile_position.png",4,220,900)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-0.00489390535</v>
      </c>
      <c r="G2344" t="n">
        <v>0.8104462706260891</v>
      </c>
      <c r="H2344" t="n">
        <v>0.0286077249153472</v>
      </c>
      <c r="I2344" t="n">
        <v>0.025389728774747</v>
      </c>
      <c r="J2344" t="n">
        <v>0.0675770344195246</v>
      </c>
      <c r="K2344" t="n">
        <v>0.301649893911918</v>
      </c>
      <c r="L2344" t="b">
        <v>0</v>
      </c>
      <c r="M2344" t="b">
        <v>0</v>
      </c>
      <c r="N2344" t="inlineStr">
        <is>
          <t>ref</t>
        </is>
      </c>
      <c r="O2344" t="n">
        <v>100</v>
      </c>
      <c r="P2344" t="n">
        <v>0.03412</v>
      </c>
      <c r="Q2344" t="n">
        <v>100</v>
      </c>
      <c r="R2344" t="n">
        <v>0.0509</v>
      </c>
      <c r="S2344">
        <f>IMAGE("https://mitra.stanford.edu/kundaje/oak/projects/neuro-variants/variant_position/credible/roussos_2024/variant_figures/roussos_2024.childhood.GLU/rs80236857_count_position.png",4,220,900)</f>
        <v/>
      </c>
      <c r="T2344">
        <f>IMAGE("https://mitra.stanford.edu/kundaje/oak/projects/neuro-variants/variant_position/credible/roussos_2024/variant_figures/roussos_2024.childhood.GLU/rs80236857_profile_position.png",4,220,900)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-0.0559755298</v>
      </c>
      <c r="G2345" t="n">
        <v>0.1559610742323897</v>
      </c>
      <c r="H2345" t="n">
        <v>0.0148405268486421</v>
      </c>
      <c r="I2345" t="n">
        <v>0.258483367442948</v>
      </c>
      <c r="J2345" t="n">
        <v>0.2666508700176166</v>
      </c>
      <c r="K2345" t="n">
        <v>0.1123599113075573</v>
      </c>
      <c r="L2345" t="b">
        <v>0</v>
      </c>
      <c r="M2345" t="b">
        <v>0</v>
      </c>
      <c r="N2345" t="inlineStr">
        <is>
          <t>ref</t>
        </is>
      </c>
      <c r="O2345" t="n">
        <v>-35</v>
      </c>
      <c r="P2345" t="n">
        <v>0.005157</v>
      </c>
      <c r="Q2345" t="n">
        <v>-30</v>
      </c>
      <c r="R2345" t="n">
        <v>0.07764</v>
      </c>
      <c r="S2345">
        <f>IMAGE("https://mitra.stanford.edu/kundaje/oak/projects/neuro-variants/variant_position/credible/roussos_2024/variant_figures/roussos_2024.childhood.GLU/rs73090183_count_position.png",4,220,900)</f>
        <v/>
      </c>
      <c r="T2345">
        <f>IMAGE("https://mitra.stanford.edu/kundaje/oak/projects/neuro-variants/variant_position/credible/roussos_2024/variant_figures/roussos_2024.childhood.GLU/rs73090183_profile_position.png",4,220,900)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0.00408580522</v>
      </c>
      <c r="G2346" t="n">
        <v>0.6905608525062485</v>
      </c>
      <c r="H2346" t="n">
        <v>0.0249685847222451</v>
      </c>
      <c r="I2346" t="n">
        <v>0.0434876829776147</v>
      </c>
      <c r="J2346" t="n">
        <v>0.0038293137729609</v>
      </c>
      <c r="K2346" t="n">
        <v>0.7045459364489529</v>
      </c>
      <c r="L2346" t="b">
        <v>0</v>
      </c>
      <c r="M2346" t="b">
        <v>0</v>
      </c>
      <c r="N2346" t="inlineStr">
        <is>
          <t>alt</t>
        </is>
      </c>
      <c r="O2346" t="n">
        <v>75</v>
      </c>
      <c r="P2346" t="n">
        <v>0.01125</v>
      </c>
      <c r="Q2346" t="n">
        <v>-100</v>
      </c>
      <c r="R2346" t="n">
        <v>0.1138</v>
      </c>
      <c r="S2346">
        <f>IMAGE("https://mitra.stanford.edu/kundaje/oak/projects/neuro-variants/variant_position/credible/roussos_2024/variant_figures/roussos_2024.childhood.GLU/rs34376789_count_position.png",4,220,900)</f>
        <v/>
      </c>
      <c r="T2346">
        <f>IMAGE("https://mitra.stanford.edu/kundaje/oak/projects/neuro-variants/variant_position/credible/roussos_2024/variant_figures/roussos_2024.childhood.GLU/rs34376789_profile_position.png",4,220,900)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0.05869621844</v>
      </c>
      <c r="G2347" t="n">
        <v>0.1375101515605906</v>
      </c>
      <c r="H2347" t="n">
        <v>0.0212407496582633</v>
      </c>
      <c r="I2347" t="n">
        <v>0.08457077374493439</v>
      </c>
      <c r="J2347" t="n">
        <v>0.3874354827078203</v>
      </c>
      <c r="K2347" t="n">
        <v>0.06763902219036411</v>
      </c>
      <c r="L2347" t="b">
        <v>0</v>
      </c>
      <c r="M2347" t="b">
        <v>0</v>
      </c>
      <c r="N2347" t="inlineStr">
        <is>
          <t>alt</t>
        </is>
      </c>
      <c r="O2347" t="n">
        <v>100</v>
      </c>
      <c r="P2347" t="n">
        <v>0.02501</v>
      </c>
      <c r="Q2347" t="n">
        <v>-100</v>
      </c>
      <c r="R2347" t="n">
        <v>0.1316</v>
      </c>
      <c r="S2347">
        <f>IMAGE("https://mitra.stanford.edu/kundaje/oak/projects/neuro-variants/variant_position/credible/roussos_2024/variant_figures/roussos_2024.childhood.GLU/rs11884034_count_position.png",4,220,900)</f>
        <v/>
      </c>
      <c r="T2347">
        <f>IMAGE("https://mitra.stanford.edu/kundaje/oak/projects/neuro-variants/variant_position/credible/roussos_2024/variant_figures/roussos_2024.childhood.GLU/rs11884034_profile_position.png",4,220,900)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-0.0734561762</v>
      </c>
      <c r="G2348" t="n">
        <v>0.0883383037756026</v>
      </c>
      <c r="H2348" t="n">
        <v>0.0128583743715867</v>
      </c>
      <c r="I2348" t="n">
        <v>0.3789708553462173</v>
      </c>
      <c r="J2348" t="n">
        <v>0.2863115167873736</v>
      </c>
      <c r="K2348" t="n">
        <v>0.1025467274576166</v>
      </c>
      <c r="L2348" t="b">
        <v>0</v>
      </c>
      <c r="M2348" t="b">
        <v>0</v>
      </c>
      <c r="N2348" t="inlineStr">
        <is>
          <t>ref</t>
        </is>
      </c>
      <c r="O2348" t="n">
        <v>-45</v>
      </c>
      <c r="P2348" t="n">
        <v>0.008789999999999999</v>
      </c>
      <c r="Q2348" t="n">
        <v>-100</v>
      </c>
      <c r="R2348" t="n">
        <v>0.09045</v>
      </c>
      <c r="S2348">
        <f>IMAGE("https://mitra.stanford.edu/kundaje/oak/projects/neuro-variants/variant_position/credible/roussos_2024/variant_figures/roussos_2024.childhood.GLU/rs55828602_count_position.png",4,220,900)</f>
        <v/>
      </c>
      <c r="T2348">
        <f>IMAGE("https://mitra.stanford.edu/kundaje/oak/projects/neuro-variants/variant_position/credible/roussos_2024/variant_figures/roussos_2024.childhood.GLU/rs55828602_profile_position.png",4,220,900)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-0.00483421846</v>
      </c>
      <c r="G2349" t="n">
        <v>0.7576868753702649</v>
      </c>
      <c r="H2349" t="n">
        <v>0.0185570202036453</v>
      </c>
      <c r="I2349" t="n">
        <v>0.1279457989616214</v>
      </c>
      <c r="J2349" t="n">
        <v>0.2100775752830518</v>
      </c>
      <c r="K2349" t="n">
        <v>0.1442688709728591</v>
      </c>
      <c r="L2349" t="b">
        <v>0</v>
      </c>
      <c r="M2349" t="b">
        <v>0</v>
      </c>
      <c r="N2349" t="inlineStr">
        <is>
          <t>ref</t>
        </is>
      </c>
      <c r="O2349" t="n">
        <v>5</v>
      </c>
      <c r="P2349" t="n">
        <v>0.0002375</v>
      </c>
      <c r="Q2349" t="n">
        <v>90</v>
      </c>
      <c r="R2349" t="n">
        <v>0.0946</v>
      </c>
      <c r="S2349">
        <f>IMAGE("https://mitra.stanford.edu/kundaje/oak/projects/neuro-variants/variant_position/credible/roussos_2024/variant_figures/roussos_2024.childhood.GLU/rs56161331_count_position.png",4,220,900)</f>
        <v/>
      </c>
      <c r="T2349">
        <f>IMAGE("https://mitra.stanford.edu/kundaje/oak/projects/neuro-variants/variant_position/credible/roussos_2024/variant_figures/roussos_2024.childhood.GLU/rs56161331_profile_position.png",4,220,900)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-0.0574450111999999</v>
      </c>
      <c r="G2350" t="n">
        <v>0.1484799627308191</v>
      </c>
      <c r="H2350" t="n">
        <v>0.0142309439772652</v>
      </c>
      <c r="I2350" t="n">
        <v>0.2866008882013656</v>
      </c>
      <c r="J2350" t="n">
        <v>0.0270184511729011</v>
      </c>
      <c r="K2350" t="n">
        <v>0.4447033385949892</v>
      </c>
      <c r="L2350" t="b">
        <v>0</v>
      </c>
      <c r="M2350" t="b">
        <v>0</v>
      </c>
      <c r="N2350" t="inlineStr">
        <is>
          <t>ref</t>
        </is>
      </c>
      <c r="O2350" t="n">
        <v>-95</v>
      </c>
      <c r="P2350" t="n">
        <v>0.01863</v>
      </c>
      <c r="Q2350" t="n">
        <v>-95</v>
      </c>
      <c r="R2350" t="n">
        <v>0.1956</v>
      </c>
      <c r="S2350">
        <f>IMAGE("https://mitra.stanford.edu/kundaje/oak/projects/neuro-variants/variant_position/credible/roussos_2024/variant_figures/roussos_2024.childhood.GLU/rs12620112_count_position.png",4,220,900)</f>
        <v/>
      </c>
      <c r="T2350">
        <f>IMAGE("https://mitra.stanford.edu/kundaje/oak/projects/neuro-variants/variant_position/credible/roussos_2024/variant_figures/roussos_2024.childhood.GLU/rs12620112_profile_position.png",4,220,900)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0.0373944242</v>
      </c>
      <c r="G2351" t="n">
        <v>0.2587793464394869</v>
      </c>
      <c r="H2351" t="n">
        <v>0.0148728220294193</v>
      </c>
      <c r="I2351" t="n">
        <v>0.2619948552255185</v>
      </c>
      <c r="J2351" t="n">
        <v>0.0309384239751923</v>
      </c>
      <c r="K2351" t="n">
        <v>0.4248759308456827</v>
      </c>
      <c r="L2351" t="b">
        <v>0</v>
      </c>
      <c r="M2351" t="b">
        <v>0</v>
      </c>
      <c r="N2351" t="inlineStr">
        <is>
          <t>alt</t>
        </is>
      </c>
      <c r="O2351" t="n">
        <v>-100</v>
      </c>
      <c r="P2351" t="n">
        <v>0.01886</v>
      </c>
      <c r="Q2351" t="n">
        <v>-100</v>
      </c>
      <c r="R2351" t="n">
        <v>0.1936</v>
      </c>
      <c r="S2351">
        <f>IMAGE("https://mitra.stanford.edu/kundaje/oak/projects/neuro-variants/variant_position/credible/roussos_2024/variant_figures/roussos_2024.childhood.GLU/rs12613751_count_position.png",4,220,900)</f>
        <v/>
      </c>
      <c r="T2351">
        <f>IMAGE("https://mitra.stanford.edu/kundaje/oak/projects/neuro-variants/variant_position/credible/roussos_2024/variant_figures/roussos_2024.childhood.GLU/rs12613751_profile_position.png",4,220,900)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-0.00343451564</v>
      </c>
      <c r="G2352" t="n">
        <v>0.5896128725146198</v>
      </c>
      <c r="H2352" t="n">
        <v>0.009914106010396001</v>
      </c>
      <c r="I2352" t="n">
        <v>0.6651790705827297</v>
      </c>
      <c r="J2352" t="n">
        <v>0.0171510400032966</v>
      </c>
      <c r="K2352" t="n">
        <v>0.527435856010861</v>
      </c>
      <c r="L2352" t="b">
        <v>0</v>
      </c>
      <c r="M2352" t="b">
        <v>0</v>
      </c>
      <c r="N2352" t="inlineStr">
        <is>
          <t>ref</t>
        </is>
      </c>
      <c r="O2352" t="n">
        <v>-100</v>
      </c>
      <c r="P2352" t="n">
        <v>0.004383</v>
      </c>
      <c r="Q2352" t="n">
        <v>95</v>
      </c>
      <c r="R2352" t="n">
        <v>0.02873</v>
      </c>
      <c r="S2352">
        <f>IMAGE("https://mitra.stanford.edu/kundaje/oak/projects/neuro-variants/variant_position/credible/roussos_2024/variant_figures/roussos_2024.childhood.GLU/rs10933235_count_position.png",4,220,900)</f>
        <v/>
      </c>
      <c r="T2352">
        <f>IMAGE("https://mitra.stanford.edu/kundaje/oak/projects/neuro-variants/variant_position/credible/roussos_2024/variant_figures/roussos_2024.childhood.GLU/rs10933235_profile_position.png",4,220,900)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0.01210853234</v>
      </c>
      <c r="G2353" t="n">
        <v>0.5429769515078444</v>
      </c>
      <c r="H2353" t="n">
        <v>0.0135526800384242</v>
      </c>
      <c r="I2353" t="n">
        <v>0.3343450554671133</v>
      </c>
      <c r="J2353" t="n">
        <v>0.00195328999557</v>
      </c>
      <c r="K2353" t="n">
        <v>0.7636335229733643</v>
      </c>
      <c r="L2353" t="b">
        <v>0</v>
      </c>
      <c r="M2353" t="b">
        <v>0</v>
      </c>
      <c r="N2353" t="inlineStr">
        <is>
          <t>alt</t>
        </is>
      </c>
      <c r="O2353" t="n">
        <v>60</v>
      </c>
      <c r="P2353" t="n">
        <v>0.0168</v>
      </c>
      <c r="Q2353" t="n">
        <v>-25</v>
      </c>
      <c r="R2353" t="n">
        <v>0.001984</v>
      </c>
      <c r="S2353">
        <f>IMAGE("https://mitra.stanford.edu/kundaje/oak/projects/neuro-variants/variant_position/credible/roussos_2024/variant_figures/roussos_2024.childhood.GLU/rs10175063_count_position.png",4,220,900)</f>
        <v/>
      </c>
      <c r="T2353">
        <f>IMAGE("https://mitra.stanford.edu/kundaje/oak/projects/neuro-variants/variant_position/credible/roussos_2024/variant_figures/roussos_2024.childhood.GLU/rs10175063_profile_position.png",4,220,900)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0.01159295916</v>
      </c>
      <c r="G2354" t="n">
        <v>0.4441771816342373</v>
      </c>
      <c r="H2354" t="n">
        <v>0.0140691951955589</v>
      </c>
      <c r="I2354" t="n">
        <v>0.2971775302728506</v>
      </c>
      <c r="J2354" t="n">
        <v>0.0706687133629348</v>
      </c>
      <c r="K2354" t="n">
        <v>0.298444807409215</v>
      </c>
      <c r="L2354" t="b">
        <v>0</v>
      </c>
      <c r="M2354" t="b">
        <v>0</v>
      </c>
      <c r="N2354" t="inlineStr">
        <is>
          <t>alt</t>
        </is>
      </c>
      <c r="O2354" t="n">
        <v>100</v>
      </c>
      <c r="P2354" t="n">
        <v>0.007607</v>
      </c>
      <c r="Q2354" t="n">
        <v>-85</v>
      </c>
      <c r="R2354" t="n">
        <v>0.1089</v>
      </c>
      <c r="S2354">
        <f>IMAGE("https://mitra.stanford.edu/kundaje/oak/projects/neuro-variants/variant_position/credible/roussos_2024/variant_figures/roussos_2024.childhood.GLU/rs67681818_count_position.png",4,220,900)</f>
        <v/>
      </c>
      <c r="T2354">
        <f>IMAGE("https://mitra.stanford.edu/kundaje/oak/projects/neuro-variants/variant_position/credible/roussos_2024/variant_figures/roussos_2024.childhood.GLU/rs67681818_profile_position.png",4,220,900)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0.079367036</v>
      </c>
      <c r="G2355" t="n">
        <v>0.08036474467651911</v>
      </c>
      <c r="H2355" t="n">
        <v>0.0317583751877818</v>
      </c>
      <c r="I2355" t="n">
        <v>0.0184134593606079</v>
      </c>
      <c r="J2355" t="n">
        <v>0.021939485097922</v>
      </c>
      <c r="K2355" t="n">
        <v>0.4772576732558296</v>
      </c>
      <c r="L2355" t="b">
        <v>1</v>
      </c>
      <c r="M2355" t="b">
        <v>0</v>
      </c>
      <c r="N2355" t="inlineStr">
        <is>
          <t>alt</t>
        </is>
      </c>
      <c r="O2355" t="n">
        <v>-95</v>
      </c>
      <c r="P2355" t="n">
        <v>0.05676</v>
      </c>
      <c r="Q2355" t="n">
        <v>-95</v>
      </c>
      <c r="R2355" t="n">
        <v>0.08075</v>
      </c>
      <c r="S2355">
        <f>IMAGE("https://mitra.stanford.edu/kundaje/oak/projects/neuro-variants/variant_position/credible/roussos_2024/variant_figures/roussos_2024.childhood.GLU/rs67890737_count_position.png",4,220,900)</f>
        <v/>
      </c>
      <c r="T2355">
        <f>IMAGE("https://mitra.stanford.edu/kundaje/oak/projects/neuro-variants/variant_position/credible/roussos_2024/variant_figures/roussos_2024.childhood.GLU/rs67890737_profile_position.png",4,220,900)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0.1104426419999999</v>
      </c>
      <c r="G2356" t="n">
        <v>0.0380775625103591</v>
      </c>
      <c r="H2356" t="n">
        <v>0.0176349682397842</v>
      </c>
      <c r="I2356" t="n">
        <v>0.1559527516473455</v>
      </c>
      <c r="J2356" t="n">
        <v>0.0782191682034058</v>
      </c>
      <c r="K2356" t="n">
        <v>0.283100412770262</v>
      </c>
      <c r="L2356" t="b">
        <v>0</v>
      </c>
      <c r="M2356" t="b">
        <v>0</v>
      </c>
      <c r="N2356" t="inlineStr">
        <is>
          <t>alt</t>
        </is>
      </c>
      <c r="O2356" t="n">
        <v>-15</v>
      </c>
      <c r="P2356" t="n">
        <v>0.002136</v>
      </c>
      <c r="Q2356" t="n">
        <v>-15</v>
      </c>
      <c r="R2356" t="n">
        <v>0.03003</v>
      </c>
      <c r="S2356">
        <f>IMAGE("https://mitra.stanford.edu/kundaje/oak/projects/neuro-variants/variant_position/credible/roussos_2024/variant_figures/roussos_2024.childhood.GLU/rs10191681_count_position.png",4,220,900)</f>
        <v/>
      </c>
      <c r="T2356">
        <f>IMAGE("https://mitra.stanford.edu/kundaje/oak/projects/neuro-variants/variant_position/credible/roussos_2024/variant_figures/roussos_2024.childhood.GLU/rs10191681_profile_position.png",4,220,900)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0.0713519692</v>
      </c>
      <c r="G2357" t="n">
        <v>0.0979203550945464</v>
      </c>
      <c r="H2357" t="n">
        <v>0.0341771890121619</v>
      </c>
      <c r="I2357" t="n">
        <v>0.0126875991020298</v>
      </c>
      <c r="J2357" t="n">
        <v>0.0110346461722315</v>
      </c>
      <c r="K2357" t="n">
        <v>0.5770353740935352</v>
      </c>
      <c r="L2357" t="b">
        <v>1</v>
      </c>
      <c r="M2357" t="b">
        <v>0</v>
      </c>
      <c r="N2357" t="inlineStr">
        <is>
          <t>alt</t>
        </is>
      </c>
      <c r="O2357" t="n">
        <v>-90</v>
      </c>
      <c r="P2357" t="n">
        <v>0.007477</v>
      </c>
      <c r="Q2357" t="n">
        <v>95</v>
      </c>
      <c r="R2357" t="n">
        <v>0.1537</v>
      </c>
      <c r="S2357">
        <f>IMAGE("https://mitra.stanford.edu/kundaje/oak/projects/neuro-variants/variant_position/credible/roussos_2024/variant_figures/roussos_2024.childhood.GLU/rs12618505_count_position.png",4,220,900)</f>
        <v/>
      </c>
      <c r="T2357">
        <f>IMAGE("https://mitra.stanford.edu/kundaje/oak/projects/neuro-variants/variant_position/credible/roussos_2024/variant_figures/roussos_2024.childhood.GLU/rs12618505_profile_position.png",4,220,900)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0.0223786523999999</v>
      </c>
      <c r="G2358" t="n">
        <v>0.4226628110881705</v>
      </c>
      <c r="H2358" t="n">
        <v>0.0242342029692815</v>
      </c>
      <c r="I2358" t="n">
        <v>0.0486657075950834</v>
      </c>
      <c r="J2358" t="n">
        <v>0.0068025178484963</v>
      </c>
      <c r="K2358" t="n">
        <v>0.6369946287728833</v>
      </c>
      <c r="L2358" t="b">
        <v>0</v>
      </c>
      <c r="M2358" t="b">
        <v>0</v>
      </c>
      <c r="N2358" t="inlineStr">
        <is>
          <t>alt</t>
        </is>
      </c>
      <c r="O2358" t="n">
        <v>5</v>
      </c>
      <c r="P2358" t="n">
        <v>0.000845</v>
      </c>
      <c r="Q2358" t="n">
        <v>-75</v>
      </c>
      <c r="R2358" t="n">
        <v>0.04102</v>
      </c>
      <c r="S2358">
        <f>IMAGE("https://mitra.stanford.edu/kundaje/oak/projects/neuro-variants/variant_position/credible/roussos_2024/variant_figures/roussos_2024.childhood.GLU/rs4450589_count_position.png",4,220,900)</f>
        <v/>
      </c>
      <c r="T2358">
        <f>IMAGE("https://mitra.stanford.edu/kundaje/oak/projects/neuro-variants/variant_position/credible/roussos_2024/variant_figures/roussos_2024.childhood.GLU/rs4450589_profile_position.png",4,220,900)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-0.00887954576</v>
      </c>
      <c r="G2359" t="n">
        <v>0.5758777364353244</v>
      </c>
      <c r="H2359" t="n">
        <v>0.0085024501538392</v>
      </c>
      <c r="I2359" t="n">
        <v>0.8302127786631489</v>
      </c>
      <c r="J2359" t="n">
        <v>0.0044031442199717</v>
      </c>
      <c r="K2359" t="n">
        <v>0.684537069763548</v>
      </c>
      <c r="L2359" t="b">
        <v>0</v>
      </c>
      <c r="M2359" t="b">
        <v>0</v>
      </c>
      <c r="N2359" t="inlineStr">
        <is>
          <t>ref</t>
        </is>
      </c>
      <c r="O2359" t="n">
        <v>90</v>
      </c>
      <c r="P2359" t="n">
        <v>0.00997</v>
      </c>
      <c r="Q2359" t="n">
        <v>-10</v>
      </c>
      <c r="R2359" t="n">
        <v>0.012146</v>
      </c>
      <c r="S2359">
        <f>IMAGE("https://mitra.stanford.edu/kundaje/oak/projects/neuro-variants/variant_position/credible/roussos_2024/variant_figures/roussos_2024.childhood.GLU/rs10933236_count_position.png",4,220,900)</f>
        <v/>
      </c>
      <c r="T2359">
        <f>IMAGE("https://mitra.stanford.edu/kundaje/oak/projects/neuro-variants/variant_position/credible/roussos_2024/variant_figures/roussos_2024.childhood.GLU/rs10933236_profile_position.png",4,220,900)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-0.0252646588799999</v>
      </c>
      <c r="G2360" t="n">
        <v>0.4238031697334339</v>
      </c>
      <c r="H2360" t="n">
        <v>0.0259576126362285</v>
      </c>
      <c r="I2360" t="n">
        <v>0.0399582024118755</v>
      </c>
      <c r="J2360" t="n">
        <v>0.002855759423903</v>
      </c>
      <c r="K2360" t="n">
        <v>0.731375010153581</v>
      </c>
      <c r="L2360" t="b">
        <v>0</v>
      </c>
      <c r="M2360" t="b">
        <v>0</v>
      </c>
      <c r="N2360" t="inlineStr">
        <is>
          <t>ref</t>
        </is>
      </c>
      <c r="O2360" t="n">
        <v>15</v>
      </c>
      <c r="P2360" t="n">
        <v>0.001404</v>
      </c>
      <c r="Q2360" t="n">
        <v>55</v>
      </c>
      <c r="R2360" t="n">
        <v>0.05066</v>
      </c>
      <c r="S2360">
        <f>IMAGE("https://mitra.stanford.edu/kundaje/oak/projects/neuro-variants/variant_position/credible/roussos_2024/variant_figures/roussos_2024.childhood.GLU/rs66499548_count_position.png",4,220,900)</f>
        <v/>
      </c>
      <c r="T2360">
        <f>IMAGE("https://mitra.stanford.edu/kundaje/oak/projects/neuro-variants/variant_position/credible/roussos_2024/variant_figures/roussos_2024.childhood.GLU/rs66499548_profile_position.png",4,220,900)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0.000863508714</v>
      </c>
      <c r="G2361" t="n">
        <v>0.8899133963106132</v>
      </c>
      <c r="H2361" t="n">
        <v>0.0209589748293482</v>
      </c>
      <c r="I2361" t="n">
        <v>0.0858371912187629</v>
      </c>
      <c r="J2361" t="n">
        <v>0.0026404442292436</v>
      </c>
      <c r="K2361" t="n">
        <v>0.7395950363412152</v>
      </c>
      <c r="L2361" t="b">
        <v>0</v>
      </c>
      <c r="M2361" t="b">
        <v>0</v>
      </c>
      <c r="N2361" t="inlineStr">
        <is>
          <t>alt</t>
        </is>
      </c>
      <c r="O2361" t="n">
        <v>-75</v>
      </c>
      <c r="P2361" t="n">
        <v>0.01193</v>
      </c>
      <c r="Q2361" t="n">
        <v>-35</v>
      </c>
      <c r="R2361" t="n">
        <v>0.0824</v>
      </c>
      <c r="S2361">
        <f>IMAGE("https://mitra.stanford.edu/kundaje/oak/projects/neuro-variants/variant_position/credible/roussos_2024/variant_figures/roussos_2024.childhood.GLU/rs13388454_count_position.png",4,220,900)</f>
        <v/>
      </c>
      <c r="T2361">
        <f>IMAGE("https://mitra.stanford.edu/kundaje/oak/projects/neuro-variants/variant_position/credible/roussos_2024/variant_figures/roussos_2024.childhood.GLU/rs13388454_profile_position.png",4,220,900)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0.0086233737199999</v>
      </c>
      <c r="G2362" t="n">
        <v>0.7034232130413686</v>
      </c>
      <c r="H2362" t="n">
        <v>0.0161763561835126</v>
      </c>
      <c r="I2362" t="n">
        <v>0.1998032656826516</v>
      </c>
      <c r="J2362" t="n">
        <v>0.0001761669774485</v>
      </c>
      <c r="K2362" t="n">
        <v>0.9205958592130704</v>
      </c>
      <c r="L2362" t="b">
        <v>0</v>
      </c>
      <c r="M2362" t="b">
        <v>0</v>
      </c>
      <c r="N2362" t="inlineStr">
        <is>
          <t>alt</t>
        </is>
      </c>
      <c r="O2362" t="n">
        <v>55</v>
      </c>
      <c r="P2362" t="n">
        <v>0.004467</v>
      </c>
      <c r="Q2362" t="n">
        <v>95</v>
      </c>
      <c r="R2362" t="n">
        <v>0.02158</v>
      </c>
      <c r="S2362">
        <f>IMAGE("https://mitra.stanford.edu/kundaje/oak/projects/neuro-variants/variant_position/credible/roussos_2024/variant_figures/roussos_2024.childhood.GLU/rs4973071_count_position.png",4,220,900)</f>
        <v/>
      </c>
      <c r="T2362">
        <f>IMAGE("https://mitra.stanford.edu/kundaje/oak/projects/neuro-variants/variant_position/credible/roussos_2024/variant_figures/roussos_2024.childhood.GLU/rs4973071_profile_position.png",4,220,900)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-0.176666496</v>
      </c>
      <c r="G2363" t="n">
        <v>0.0113730609402782</v>
      </c>
      <c r="H2363" t="n">
        <v>0.0322511393294875</v>
      </c>
      <c r="I2363" t="n">
        <v>0.0175544000610869</v>
      </c>
      <c r="J2363" t="n">
        <v>0.1298968753541367</v>
      </c>
      <c r="K2363" t="n">
        <v>0.2190815652584626</v>
      </c>
      <c r="L2363" t="b">
        <v>1</v>
      </c>
      <c r="M2363" t="b">
        <v>0</v>
      </c>
      <c r="N2363" t="inlineStr">
        <is>
          <t>ref</t>
        </is>
      </c>
      <c r="O2363" t="n">
        <v>-20</v>
      </c>
      <c r="P2363" t="n">
        <v>0.001465</v>
      </c>
      <c r="Q2363" t="n">
        <v>-50</v>
      </c>
      <c r="R2363" t="n">
        <v>0.0547</v>
      </c>
      <c r="S2363">
        <f>IMAGE("https://mitra.stanford.edu/kundaje/oak/projects/neuro-variants/variant_position/credible/roussos_2024/variant_figures/roussos_2024.childhood.GLU/rs4246653_count_position.png",4,220,900)</f>
        <v/>
      </c>
      <c r="T2363">
        <f>IMAGE("https://mitra.stanford.edu/kundaje/oak/projects/neuro-variants/variant_position/credible/roussos_2024/variant_figures/roussos_2024.childhood.GLU/rs4246653_profile_position.png",4,220,900)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0.005971086868</v>
      </c>
      <c r="G2364" t="n">
        <v>0.7520010068937578</v>
      </c>
      <c r="H2364" t="n">
        <v>0.0065435673941521</v>
      </c>
      <c r="I2364" t="n">
        <v>0.9700765268117912</v>
      </c>
      <c r="J2364" t="n">
        <v>0.0256781398415527</v>
      </c>
      <c r="K2364" t="n">
        <v>0.4573494538423223</v>
      </c>
      <c r="L2364" t="b">
        <v>0</v>
      </c>
      <c r="M2364" t="b">
        <v>0</v>
      </c>
      <c r="N2364" t="inlineStr">
        <is>
          <t>alt</t>
        </is>
      </c>
      <c r="O2364" t="n">
        <v>-80</v>
      </c>
      <c r="P2364" t="n">
        <v>0.01494</v>
      </c>
      <c r="Q2364" t="n">
        <v>90</v>
      </c>
      <c r="R2364" t="n">
        <v>0.06067</v>
      </c>
      <c r="S2364">
        <f>IMAGE("https://mitra.stanford.edu/kundaje/oak/projects/neuro-variants/variant_position/credible/roussos_2024/variant_figures/roussos_2024.childhood.GLU/rs6436754_count_position.png",4,220,900)</f>
        <v/>
      </c>
      <c r="T2364">
        <f>IMAGE("https://mitra.stanford.edu/kundaje/oak/projects/neuro-variants/variant_position/credible/roussos_2024/variant_figures/roussos_2024.childhood.GLU/rs6436754_profile_position.png",4,220,900)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-0.1436621558</v>
      </c>
      <c r="G2365" t="n">
        <v>0.0215873870427328</v>
      </c>
      <c r="H2365" t="n">
        <v>0.0165867431763323</v>
      </c>
      <c r="I2365" t="n">
        <v>0.1993083613299915</v>
      </c>
      <c r="J2365" t="n">
        <v>0.0137317522948066</v>
      </c>
      <c r="K2365" t="n">
        <v>0.5425903278473495</v>
      </c>
      <c r="L2365" t="b">
        <v>0</v>
      </c>
      <c r="M2365" t="b">
        <v>0</v>
      </c>
      <c r="N2365" t="inlineStr">
        <is>
          <t>ref</t>
        </is>
      </c>
      <c r="O2365" t="n">
        <v>-75</v>
      </c>
      <c r="P2365" t="n">
        <v>0.003975</v>
      </c>
      <c r="Q2365" t="n">
        <v>95</v>
      </c>
      <c r="R2365" t="n">
        <v>0.06665</v>
      </c>
      <c r="S2365">
        <f>IMAGE("https://mitra.stanford.edu/kundaje/oak/projects/neuro-variants/variant_position/credible/roussos_2024/variant_figures/roussos_2024.childhood.GLU/rs4246655_count_position.png",4,220,900)</f>
        <v/>
      </c>
      <c r="T2365">
        <f>IMAGE("https://mitra.stanford.edu/kundaje/oak/projects/neuro-variants/variant_position/credible/roussos_2024/variant_figures/roussos_2024.childhood.GLU/rs4246655_profile_position.png",4,220,900)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0.0231130292</v>
      </c>
      <c r="G2366" t="n">
        <v>0.4052618232573693</v>
      </c>
      <c r="H2366" t="n">
        <v>0.0200931499620854</v>
      </c>
      <c r="I2366" t="n">
        <v>0.0964540644497149</v>
      </c>
      <c r="J2366" t="n">
        <v>0.0002503425469005</v>
      </c>
      <c r="K2366" t="n">
        <v>0.9120644313256816</v>
      </c>
      <c r="L2366" t="b">
        <v>0</v>
      </c>
      <c r="M2366" t="b">
        <v>0</v>
      </c>
      <c r="N2366" t="inlineStr">
        <is>
          <t>alt</t>
        </is>
      </c>
      <c r="O2366" t="n">
        <v>-25</v>
      </c>
      <c r="P2366" t="n">
        <v>0.001701</v>
      </c>
      <c r="Q2366" t="n">
        <v>-80</v>
      </c>
      <c r="R2366" t="n">
        <v>0.01425</v>
      </c>
      <c r="S2366">
        <f>IMAGE("https://mitra.stanford.edu/kundaje/oak/projects/neuro-variants/variant_position/credible/roussos_2024/variant_figures/roussos_2024.childhood.GLU/rs4321353_count_position.png",4,220,900)</f>
        <v/>
      </c>
      <c r="T2366">
        <f>IMAGE("https://mitra.stanford.edu/kundaje/oak/projects/neuro-variants/variant_position/credible/roussos_2024/variant_figures/roussos_2024.childhood.GLU/rs4321353_profile_position.png",4,220,900)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-0.01300270676</v>
      </c>
      <c r="G2367" t="n">
        <v>0.6084616985759849</v>
      </c>
      <c r="H2367" t="n">
        <v>0.0396240959503309</v>
      </c>
      <c r="I2367" t="n">
        <v>0.0068828173630973</v>
      </c>
      <c r="J2367" t="n">
        <v>0.0207557666354167</v>
      </c>
      <c r="K2367" t="n">
        <v>0.4815166599104624</v>
      </c>
      <c r="L2367" t="b">
        <v>1</v>
      </c>
      <c r="M2367" t="b">
        <v>0</v>
      </c>
      <c r="N2367" t="inlineStr">
        <is>
          <t>ref</t>
        </is>
      </c>
      <c r="O2367" t="n">
        <v>-55</v>
      </c>
      <c r="P2367" t="n">
        <v>0.014725</v>
      </c>
      <c r="Q2367" t="n">
        <v>-35</v>
      </c>
      <c r="R2367" t="n">
        <v>0.0321</v>
      </c>
      <c r="S2367">
        <f>IMAGE("https://mitra.stanford.edu/kundaje/oak/projects/neuro-variants/variant_position/credible/roussos_2024/variant_figures/roussos_2024.childhood.GLU/rs55784527_count_position.png",4,220,900)</f>
        <v/>
      </c>
      <c r="T2367">
        <f>IMAGE("https://mitra.stanford.edu/kundaje/oak/projects/neuro-variants/variant_position/credible/roussos_2024/variant_figures/roussos_2024.childhood.GLU/rs55784527_profile_position.png",4,220,900)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-0.0243485782</v>
      </c>
      <c r="G2368" t="n">
        <v>0.4315473049279777</v>
      </c>
      <c r="H2368" t="n">
        <v>0.0175113174425594</v>
      </c>
      <c r="I2368" t="n">
        <v>0.1561205650022381</v>
      </c>
      <c r="J2368" t="n">
        <v>0.2443538998835855</v>
      </c>
      <c r="K2368" t="n">
        <v>0.1224742250165549</v>
      </c>
      <c r="L2368" t="b">
        <v>0</v>
      </c>
      <c r="M2368" t="b">
        <v>0</v>
      </c>
      <c r="N2368" t="inlineStr">
        <is>
          <t>ref</t>
        </is>
      </c>
      <c r="O2368" t="n">
        <v>-25</v>
      </c>
      <c r="P2368" t="n">
        <v>0.00237</v>
      </c>
      <c r="Q2368" t="n">
        <v>-85</v>
      </c>
      <c r="R2368" t="n">
        <v>0.05994</v>
      </c>
      <c r="S2368">
        <f>IMAGE("https://mitra.stanford.edu/kundaje/oak/projects/neuro-variants/variant_position/credible/roussos_2024/variant_figures/roussos_2024.childhood.GLU/rs62193248_count_position.png",4,220,900)</f>
        <v/>
      </c>
      <c r="T2368">
        <f>IMAGE("https://mitra.stanford.edu/kundaje/oak/projects/neuro-variants/variant_position/credible/roussos_2024/variant_figures/roussos_2024.childhood.GLU/rs62193248_profile_position.png",4,220,900)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0.065693864</v>
      </c>
      <c r="G2369" t="n">
        <v>0.1123354081526352</v>
      </c>
      <c r="H2369" t="n">
        <v>0.0133362162493684</v>
      </c>
      <c r="I2369" t="n">
        <v>0.3388264255485636</v>
      </c>
      <c r="J2369" t="n">
        <v>0.2497450214800086</v>
      </c>
      <c r="K2369" t="n">
        <v>0.1206240097768075</v>
      </c>
      <c r="L2369" t="b">
        <v>0</v>
      </c>
      <c r="M2369" t="b">
        <v>0</v>
      </c>
      <c r="N2369" t="inlineStr">
        <is>
          <t>alt</t>
        </is>
      </c>
      <c r="O2369" t="n">
        <v>100</v>
      </c>
      <c r="P2369" t="n">
        <v>0.02252</v>
      </c>
      <c r="Q2369" t="n">
        <v>55</v>
      </c>
      <c r="R2369" t="n">
        <v>0.12134</v>
      </c>
      <c r="S2369">
        <f>IMAGE("https://mitra.stanford.edu/kundaje/oak/projects/neuro-variants/variant_position/credible/roussos_2024/variant_figures/roussos_2024.childhood.GLU/rs11886634_count_position.png",4,220,900)</f>
        <v/>
      </c>
      <c r="T2369">
        <f>IMAGE("https://mitra.stanford.edu/kundaje/oak/projects/neuro-variants/variant_position/credible/roussos_2024/variant_figures/roussos_2024.childhood.GLU/rs11886634_profile_position.png",4,220,900)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-0.0207338309999999</v>
      </c>
      <c r="G2370" t="n">
        <v>0.4650977333000337</v>
      </c>
      <c r="H2370" t="n">
        <v>0.0112464377758447</v>
      </c>
      <c r="I2370" t="n">
        <v>0.5290597583155654</v>
      </c>
      <c r="J2370" t="n">
        <v>0.0714104690574551</v>
      </c>
      <c r="K2370" t="n">
        <v>0.2970872561344447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0.0649</v>
      </c>
      <c r="Q2370" t="n">
        <v>-20</v>
      </c>
      <c r="R2370" t="n">
        <v>0.09520000000000001</v>
      </c>
      <c r="S2370">
        <f>IMAGE("https://mitra.stanford.edu/kundaje/oak/projects/neuro-variants/variant_position/credible/roussos_2024/variant_figures/roussos_2024.childhood.GLU/rs11885896_count_position.png",4,220,900)</f>
        <v/>
      </c>
      <c r="T2370">
        <f>IMAGE("https://mitra.stanford.edu/kundaje/oak/projects/neuro-variants/variant_position/credible/roussos_2024/variant_figures/roussos_2024.childhood.GLU/rs11885896_profile_position.png",4,220,900)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0.0211497329999999</v>
      </c>
      <c r="G2371" t="n">
        <v>0.4413271733841266</v>
      </c>
      <c r="H2371" t="n">
        <v>0.0148815142963386</v>
      </c>
      <c r="I2371" t="n">
        <v>0.2512059893273942</v>
      </c>
      <c r="J2371" t="n">
        <v>0.1225916119793544</v>
      </c>
      <c r="K2371" t="n">
        <v>0.2144485461146193</v>
      </c>
      <c r="L2371" t="b">
        <v>0</v>
      </c>
      <c r="M2371" t="b">
        <v>0</v>
      </c>
      <c r="N2371" t="inlineStr">
        <is>
          <t>alt</t>
        </is>
      </c>
      <c r="O2371" t="n">
        <v>-15</v>
      </c>
      <c r="P2371" t="n">
        <v>0.0009155</v>
      </c>
      <c r="Q2371" t="n">
        <v>-100</v>
      </c>
      <c r="R2371" t="n">
        <v>0.1556</v>
      </c>
      <c r="S2371">
        <f>IMAGE("https://mitra.stanford.edu/kundaje/oak/projects/neuro-variants/variant_position/credible/roussos_2024/variant_figures/roussos_2024.childhood.GLU/rs62190392_count_position.png",4,220,900)</f>
        <v/>
      </c>
      <c r="T2371">
        <f>IMAGE("https://mitra.stanford.edu/kundaje/oak/projects/neuro-variants/variant_position/credible/roussos_2024/variant_figures/roussos_2024.childhood.GLU/rs62190392_profile_position.png",4,220,900)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-0.0406043305999999</v>
      </c>
      <c r="G2372" t="n">
        <v>0.258924299960991</v>
      </c>
      <c r="H2372" t="n">
        <v>0.0352247837252232</v>
      </c>
      <c r="I2372" t="n">
        <v>0.0111387332687329</v>
      </c>
      <c r="J2372" t="n">
        <v>0.0270782037149597</v>
      </c>
      <c r="K2372" t="n">
        <v>0.4432129917434014</v>
      </c>
      <c r="L2372" t="b">
        <v>1</v>
      </c>
      <c r="M2372" t="b">
        <v>0</v>
      </c>
      <c r="N2372" t="inlineStr">
        <is>
          <t>ref</t>
        </is>
      </c>
      <c r="O2372" t="n">
        <v>85</v>
      </c>
      <c r="P2372" t="n">
        <v>0.098</v>
      </c>
      <c r="Q2372" t="n">
        <v>60</v>
      </c>
      <c r="R2372" t="n">
        <v>0.1106</v>
      </c>
      <c r="S2372">
        <f>IMAGE("https://mitra.stanford.edu/kundaje/oak/projects/neuro-variants/variant_position/credible/roussos_2024/variant_figures/roussos_2024.childhood.GLU/rs370430952_count_position.png",4,220,900)</f>
        <v/>
      </c>
      <c r="T2372">
        <f>IMAGE("https://mitra.stanford.edu/kundaje/oak/projects/neuro-variants/variant_position/credible/roussos_2024/variant_figures/roussos_2024.childhood.GLU/rs370430952_profile_position.png",4,220,900)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0.0076049680399999</v>
      </c>
      <c r="G2373" t="n">
        <v>0.6854564308881577</v>
      </c>
      <c r="H2373" t="n">
        <v>0.0283048352520868</v>
      </c>
      <c r="I2373" t="n">
        <v>0.0265792856334151</v>
      </c>
      <c r="J2373" t="n">
        <v>0.0879310167204095</v>
      </c>
      <c r="K2373" t="n">
        <v>0.26627514670983</v>
      </c>
      <c r="L2373" t="b">
        <v>0</v>
      </c>
      <c r="M2373" t="b">
        <v>0</v>
      </c>
      <c r="N2373" t="inlineStr">
        <is>
          <t>alt</t>
        </is>
      </c>
      <c r="O2373" t="n">
        <v>0</v>
      </c>
      <c r="P2373" t="n">
        <v>0</v>
      </c>
      <c r="Q2373" t="n">
        <v>100</v>
      </c>
      <c r="R2373" t="n">
        <v>0.11163</v>
      </c>
      <c r="S2373">
        <f>IMAGE("https://mitra.stanford.edu/kundaje/oak/projects/neuro-variants/variant_position/credible/roussos_2024/variant_figures/roussos_2024.childhood.GLU/rs7592697_count_position.png",4,220,900)</f>
        <v/>
      </c>
      <c r="T2373">
        <f>IMAGE("https://mitra.stanford.edu/kundaje/oak/projects/neuro-variants/variant_position/credible/roussos_2024/variant_figures/roussos_2024.childhood.GLU/rs7592697_profile_position.png",4,220,900)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-0.0580996493999999</v>
      </c>
      <c r="G2374" t="n">
        <v>0.1534131181450362</v>
      </c>
      <c r="H2374" t="n">
        <v>0.0175794784179601</v>
      </c>
      <c r="I2374" t="n">
        <v>0.1576247647323881</v>
      </c>
      <c r="J2374" t="n">
        <v>0.0204343391677912</v>
      </c>
      <c r="K2374" t="n">
        <v>0.483120918337439</v>
      </c>
      <c r="L2374" t="b">
        <v>0</v>
      </c>
      <c r="M2374" t="b">
        <v>0</v>
      </c>
      <c r="N2374" t="inlineStr">
        <is>
          <t>ref</t>
        </is>
      </c>
      <c r="O2374" t="n">
        <v>-15</v>
      </c>
      <c r="P2374" t="n">
        <v>0.002586</v>
      </c>
      <c r="Q2374" t="n">
        <v>45</v>
      </c>
      <c r="R2374" t="n">
        <v>0.0747</v>
      </c>
      <c r="S2374">
        <f>IMAGE("https://mitra.stanford.edu/kundaje/oak/projects/neuro-variants/variant_position/credible/roussos_2024/variant_figures/roussos_2024.childhood.GLU/rs13035379_count_position.png",4,220,900)</f>
        <v/>
      </c>
      <c r="T2374">
        <f>IMAGE("https://mitra.stanford.edu/kundaje/oak/projects/neuro-variants/variant_position/credible/roussos_2024/variant_figures/roussos_2024.childhood.GLU/rs13035379_profile_position.png",4,220,900)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0.2182946499999999</v>
      </c>
      <c r="G2375" t="n">
        <v>0.0059574778245617</v>
      </c>
      <c r="H2375" t="n">
        <v>0.0351129026629591</v>
      </c>
      <c r="I2375" t="n">
        <v>0.0111412251873991</v>
      </c>
      <c r="J2375" t="n">
        <v>0.1334655444177732</v>
      </c>
      <c r="K2375" t="n">
        <v>0.2115758480491828</v>
      </c>
      <c r="L2375" t="b">
        <v>1</v>
      </c>
      <c r="M2375" t="b">
        <v>1</v>
      </c>
      <c r="N2375" t="inlineStr">
        <is>
          <t>alt</t>
        </is>
      </c>
      <c r="O2375" t="n">
        <v>-55</v>
      </c>
      <c r="P2375" t="n">
        <v>0.0018635</v>
      </c>
      <c r="Q2375" t="n">
        <v>25</v>
      </c>
      <c r="R2375" t="n">
        <v>0.0437</v>
      </c>
      <c r="S2375">
        <f>IMAGE("https://mitra.stanford.edu/kundaje/oak/projects/neuro-variants/variant_position/credible/roussos_2024/variant_figures/roussos_2024.childhood.GLU/rs6749080_count_position.png",4,220,900)</f>
        <v/>
      </c>
      <c r="T2375">
        <f>IMAGE("https://mitra.stanford.edu/kundaje/oak/projects/neuro-variants/variant_position/credible/roussos_2024/variant_figures/roussos_2024.childhood.GLU/rs6749080_profile_position.png",4,220,900)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-0.021724622</v>
      </c>
      <c r="G2376" t="n">
        <v>0.439573048897393</v>
      </c>
      <c r="H2376" t="n">
        <v>0.0107866871970721</v>
      </c>
      <c r="I2376" t="n">
        <v>0.5642671650417905</v>
      </c>
      <c r="J2376" t="n">
        <v>0.0188951961016617</v>
      </c>
      <c r="K2376" t="n">
        <v>0.4981452337425056</v>
      </c>
      <c r="L2376" t="b">
        <v>0</v>
      </c>
      <c r="M2376" t="b">
        <v>0</v>
      </c>
      <c r="N2376" t="inlineStr">
        <is>
          <t>ref</t>
        </is>
      </c>
      <c r="O2376" t="n">
        <v>90</v>
      </c>
      <c r="P2376" t="n">
        <v>0.02332</v>
      </c>
      <c r="Q2376" t="n">
        <v>95</v>
      </c>
      <c r="R2376" t="n">
        <v>0.1246</v>
      </c>
      <c r="S2376">
        <f>IMAGE("https://mitra.stanford.edu/kundaje/oak/projects/neuro-variants/variant_position/credible/roussos_2024/variant_figures/roussos_2024.childhood.GLU/rs6704763_count_position.png",4,220,900)</f>
        <v/>
      </c>
      <c r="T2376">
        <f>IMAGE("https://mitra.stanford.edu/kundaje/oak/projects/neuro-variants/variant_position/credible/roussos_2024/variant_figures/roussos_2024.childhood.GLU/rs6704763_profile_position.png",4,220,900)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0.009175605039999901</v>
      </c>
      <c r="G2377" t="n">
        <v>0.6662841819301449</v>
      </c>
      <c r="H2377" t="n">
        <v>0.027122690190225</v>
      </c>
      <c r="I2377" t="n">
        <v>0.0318891831126381</v>
      </c>
      <c r="J2377" t="n">
        <v>0.08457045133773571</v>
      </c>
      <c r="K2377" t="n">
        <v>0.2746791181297149</v>
      </c>
      <c r="L2377" t="b">
        <v>0</v>
      </c>
      <c r="M2377" t="b">
        <v>0</v>
      </c>
      <c r="N2377" t="inlineStr">
        <is>
          <t>alt</t>
        </is>
      </c>
      <c r="O2377" t="n">
        <v>60</v>
      </c>
      <c r="P2377" t="n">
        <v>0.004196</v>
      </c>
      <c r="Q2377" t="n">
        <v>90</v>
      </c>
      <c r="R2377" t="n">
        <v>0.11926</v>
      </c>
      <c r="S2377">
        <f>IMAGE("https://mitra.stanford.edu/kundaje/oak/projects/neuro-variants/variant_position/credible/roussos_2024/variant_figures/roussos_2024.childhood.GLU/rs6716488_count_position.png",4,220,900)</f>
        <v/>
      </c>
      <c r="T2377">
        <f>IMAGE("https://mitra.stanford.edu/kundaje/oak/projects/neuro-variants/variant_position/credible/roussos_2024/variant_figures/roussos_2024.childhood.GLU/rs6716488_profile_position.png",4,220,900)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0.346735914</v>
      </c>
      <c r="G2378" t="n">
        <v>0.0013132073960233</v>
      </c>
      <c r="H2378" t="n">
        <v>0.0589321864344742</v>
      </c>
      <c r="I2378" t="n">
        <v>0.0017160878440998</v>
      </c>
      <c r="J2378" t="n">
        <v>0.0141644431166101</v>
      </c>
      <c r="K2378" t="n">
        <v>0.5378116696592463</v>
      </c>
      <c r="L2378" t="b">
        <v>1</v>
      </c>
      <c r="M2378" t="b">
        <v>1</v>
      </c>
      <c r="N2378" t="inlineStr">
        <is>
          <t>alt</t>
        </is>
      </c>
      <c r="O2378" t="n">
        <v>-100</v>
      </c>
      <c r="P2378" t="n">
        <v>0.006973</v>
      </c>
      <c r="Q2378" t="n">
        <v>100</v>
      </c>
      <c r="R2378" t="n">
        <v>0.08014</v>
      </c>
      <c r="S2378">
        <f>IMAGE("https://mitra.stanford.edu/kundaje/oak/projects/neuro-variants/variant_position/credible/roussos_2024/variant_figures/roussos_2024.childhood.GLU/rs2293782_count_position.png",4,220,900)</f>
        <v/>
      </c>
      <c r="T2378">
        <f>IMAGE("https://mitra.stanford.edu/kundaje/oak/projects/neuro-variants/variant_position/credible/roussos_2024/variant_figures/roussos_2024.childhood.GLU/rs2293782_profile_position.png",4,220,900)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-0.0240134824</v>
      </c>
      <c r="G2379" t="n">
        <v>0.421515656258984</v>
      </c>
      <c r="H2379" t="n">
        <v>0.0419597817257074</v>
      </c>
      <c r="I2379" t="n">
        <v>0.0053606996076848</v>
      </c>
      <c r="J2379" t="n">
        <v>0.0334768767964395</v>
      </c>
      <c r="K2379" t="n">
        <v>0.4143226370660382</v>
      </c>
      <c r="L2379" t="b">
        <v>1</v>
      </c>
      <c r="M2379" t="b">
        <v>0</v>
      </c>
      <c r="N2379" t="inlineStr">
        <is>
          <t>ref</t>
        </is>
      </c>
      <c r="O2379" t="n">
        <v>-100</v>
      </c>
      <c r="P2379" t="n">
        <v>0.008574999999999999</v>
      </c>
      <c r="Q2379" t="n">
        <v>-100</v>
      </c>
      <c r="R2379" t="n">
        <v>0.1931</v>
      </c>
      <c r="S2379">
        <f>IMAGE("https://mitra.stanford.edu/kundaje/oak/projects/neuro-variants/variant_position/credible/roussos_2024/variant_figures/roussos_2024.childhood.GLU/rs56054779_count_position.png",4,220,900)</f>
        <v/>
      </c>
      <c r="T2379">
        <f>IMAGE("https://mitra.stanford.edu/kundaje/oak/projects/neuro-variants/variant_position/credible/roussos_2024/variant_figures/roussos_2024.childhood.GLU/rs56054779_profile_position.png",4,220,900)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-0.02490132106</v>
      </c>
      <c r="G2380" t="n">
        <v>0.4116793636462896</v>
      </c>
      <c r="H2380" t="n">
        <v>0.0117662013694704</v>
      </c>
      <c r="I2380" t="n">
        <v>0.4753987541894827</v>
      </c>
      <c r="J2380" t="n">
        <v>0.0626526007809038</v>
      </c>
      <c r="K2380" t="n">
        <v>0.3223318367706366</v>
      </c>
      <c r="L2380" t="b">
        <v>0</v>
      </c>
      <c r="M2380" t="b">
        <v>0</v>
      </c>
      <c r="N2380" t="inlineStr">
        <is>
          <t>ref</t>
        </is>
      </c>
      <c r="O2380" t="n">
        <v>95</v>
      </c>
      <c r="P2380" t="n">
        <v>0.01042</v>
      </c>
      <c r="Q2380" t="n">
        <v>100</v>
      </c>
      <c r="R2380" t="n">
        <v>0.1616</v>
      </c>
      <c r="S2380">
        <f>IMAGE("https://mitra.stanford.edu/kundaje/oak/projects/neuro-variants/variant_position/credible/roussos_2024/variant_figures/roussos_2024.childhood.GLU/rs12993791_count_position.png",4,220,900)</f>
        <v/>
      </c>
      <c r="T2380">
        <f>IMAGE("https://mitra.stanford.edu/kundaje/oak/projects/neuro-variants/variant_position/credible/roussos_2024/variant_figures/roussos_2024.childhood.GLU/rs12993791_profile_position.png",4,220,900)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-0.0746609114</v>
      </c>
      <c r="G2381" t="n">
        <v>0.09080140177076509</v>
      </c>
      <c r="H2381" t="n">
        <v>0.0134242472255733</v>
      </c>
      <c r="I2381" t="n">
        <v>0.3414296366253933</v>
      </c>
      <c r="J2381" t="n">
        <v>0.0465091122626638</v>
      </c>
      <c r="K2381" t="n">
        <v>0.3719537952035573</v>
      </c>
      <c r="L2381" t="b">
        <v>0</v>
      </c>
      <c r="M2381" t="b">
        <v>0</v>
      </c>
      <c r="N2381" t="inlineStr">
        <is>
          <t>ref</t>
        </is>
      </c>
      <c r="O2381" t="n">
        <v>50</v>
      </c>
      <c r="P2381" t="n">
        <v>0.003803</v>
      </c>
      <c r="Q2381" t="n">
        <v>-75</v>
      </c>
      <c r="R2381" t="n">
        <v>0.06759999999999999</v>
      </c>
      <c r="S2381">
        <f>IMAGE("https://mitra.stanford.edu/kundaje/oak/projects/neuro-variants/variant_position/credible/roussos_2024/variant_figures/roussos_2024.childhood.GLU/rs12328151_count_position.png",4,220,900)</f>
        <v/>
      </c>
      <c r="T2381">
        <f>IMAGE("https://mitra.stanford.edu/kundaje/oak/projects/neuro-variants/variant_position/credible/roussos_2024/variant_figures/roussos_2024.childhood.GLU/rs12328151_profile_position.png",4,220,900)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-0.0536075093999999</v>
      </c>
      <c r="G2382" t="n">
        <v>0.1681290808011474</v>
      </c>
      <c r="H2382" t="n">
        <v>0.0122203977517704</v>
      </c>
      <c r="I2382" t="n">
        <v>0.4273877751805327</v>
      </c>
      <c r="J2382" t="n">
        <v>0.5639949725447371</v>
      </c>
      <c r="K2382" t="n">
        <v>0.031653574218992</v>
      </c>
      <c r="L2382" t="b">
        <v>0</v>
      </c>
      <c r="M2382" t="b">
        <v>0</v>
      </c>
      <c r="N2382" t="inlineStr">
        <is>
          <t>ref</t>
        </is>
      </c>
      <c r="O2382" t="n">
        <v>45</v>
      </c>
      <c r="P2382" t="n">
        <v>0.001587</v>
      </c>
      <c r="Q2382" t="n">
        <v>20</v>
      </c>
      <c r="R2382" t="n">
        <v>0.0166</v>
      </c>
      <c r="S2382">
        <f>IMAGE("https://mitra.stanford.edu/kundaje/oak/projects/neuro-variants/variant_position/credible/roussos_2024/variant_figures/roussos_2024.childhood.GLU/rs2675968_count_position.png",4,220,900)</f>
        <v/>
      </c>
      <c r="T2382">
        <f>IMAGE("https://mitra.stanford.edu/kundaje/oak/projects/neuro-variants/variant_position/credible/roussos_2024/variant_figures/roussos_2024.childhood.GLU/rs2675968_profile_position.png",4,220,900)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0.0366931552</v>
      </c>
      <c r="G2383" t="n">
        <v>0.2128354177621575</v>
      </c>
      <c r="H2383" t="n">
        <v>0.0311111131345289</v>
      </c>
      <c r="I2383" t="n">
        <v>0.0231589739611143</v>
      </c>
      <c r="J2383" t="n">
        <v>0.1569307797706737</v>
      </c>
      <c r="K2383" t="n">
        <v>0.1841822297234006</v>
      </c>
      <c r="L2383" t="b">
        <v>0</v>
      </c>
      <c r="M2383" t="b">
        <v>0</v>
      </c>
      <c r="N2383" t="inlineStr">
        <is>
          <t>alt</t>
        </is>
      </c>
      <c r="O2383" t="n">
        <v>-100</v>
      </c>
      <c r="P2383" t="n">
        <v>0.04913</v>
      </c>
      <c r="Q2383" t="n">
        <v>-10</v>
      </c>
      <c r="R2383" t="n">
        <v>0.01953</v>
      </c>
      <c r="S2383">
        <f>IMAGE("https://mitra.stanford.edu/kundaje/oak/projects/neuro-variants/variant_position/credible/roussos_2024/variant_figures/roussos_2024.childhood.GLU/rs938575_count_position.png",4,220,900)</f>
        <v/>
      </c>
      <c r="T2383">
        <f>IMAGE("https://mitra.stanford.edu/kundaje/oak/projects/neuro-variants/variant_position/credible/roussos_2024/variant_figures/roussos_2024.childhood.GLU/rs938575_profile_position.png",4,220,900)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-0.028156236</v>
      </c>
      <c r="G2384" t="n">
        <v>0.3706119254409243</v>
      </c>
      <c r="H2384" t="n">
        <v>0.0139261192065244</v>
      </c>
      <c r="I2384" t="n">
        <v>0.3050238298580072</v>
      </c>
      <c r="J2384" t="n">
        <v>0.2532735121101919</v>
      </c>
      <c r="K2384" t="n">
        <v>0.1183047943109005</v>
      </c>
      <c r="L2384" t="b">
        <v>0</v>
      </c>
      <c r="M2384" t="b">
        <v>0</v>
      </c>
      <c r="N2384" t="inlineStr">
        <is>
          <t>ref</t>
        </is>
      </c>
      <c r="O2384" t="n">
        <v>-30</v>
      </c>
      <c r="P2384" t="n">
        <v>0.001113</v>
      </c>
      <c r="Q2384" t="n">
        <v>100</v>
      </c>
      <c r="R2384" t="n">
        <v>0.1478</v>
      </c>
      <c r="S2384">
        <f>IMAGE("https://mitra.stanford.edu/kundaje/oak/projects/neuro-variants/variant_position/credible/roussos_2024/variant_figures/roussos_2024.childhood.GLU/rs79340715_count_position.png",4,220,900)</f>
        <v/>
      </c>
      <c r="T2384">
        <f>IMAGE("https://mitra.stanford.edu/kundaje/oak/projects/neuro-variants/variant_position/credible/roussos_2024/variant_figures/roussos_2024.childhood.GLU/rs79340715_profile_position.png",4,220,900)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-0.0150786183999999</v>
      </c>
      <c r="G2385" t="n">
        <v>0.5470796303389796</v>
      </c>
      <c r="H2385" t="n">
        <v>0.0115459872951211</v>
      </c>
      <c r="I2385" t="n">
        <v>0.4936340420408937</v>
      </c>
      <c r="J2385" t="n">
        <v>0.0552381344844282</v>
      </c>
      <c r="K2385" t="n">
        <v>0.3428876606882328</v>
      </c>
      <c r="L2385" t="b">
        <v>0</v>
      </c>
      <c r="M2385" t="b">
        <v>0</v>
      </c>
      <c r="N2385" t="inlineStr">
        <is>
          <t>ref</t>
        </is>
      </c>
      <c r="O2385" t="n">
        <v>-10</v>
      </c>
      <c r="P2385" t="n">
        <v>0.001289</v>
      </c>
      <c r="Q2385" t="n">
        <v>30</v>
      </c>
      <c r="R2385" t="n">
        <v>0.04163</v>
      </c>
      <c r="S2385">
        <f>IMAGE("https://mitra.stanford.edu/kundaje/oak/projects/neuro-variants/variant_position/credible/roussos_2024/variant_figures/roussos_2024.childhood.GLU/rs4663623_count_position.png",4,220,900)</f>
        <v/>
      </c>
      <c r="T2385">
        <f>IMAGE("https://mitra.stanford.edu/kundaje/oak/projects/neuro-variants/variant_position/credible/roussos_2024/variant_figures/roussos_2024.childhood.GLU/rs4663623_profile_position.png",4,220,900)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-0.0993871642</v>
      </c>
      <c r="G2386" t="n">
        <v>0.0453529783474999</v>
      </c>
      <c r="H2386" t="n">
        <v>0.0133724268012879</v>
      </c>
      <c r="I2386" t="n">
        <v>0.3414211192301206</v>
      </c>
      <c r="J2386" t="n">
        <v>0.1580135370414249</v>
      </c>
      <c r="K2386" t="n">
        <v>0.1865266593287589</v>
      </c>
      <c r="L2386" t="b">
        <v>0</v>
      </c>
      <c r="M2386" t="b">
        <v>0</v>
      </c>
      <c r="N2386" t="inlineStr">
        <is>
          <t>ref</t>
        </is>
      </c>
      <c r="O2386" t="n">
        <v>25</v>
      </c>
      <c r="P2386" t="n">
        <v>0.001686</v>
      </c>
      <c r="Q2386" t="n">
        <v>90</v>
      </c>
      <c r="R2386" t="n">
        <v>0.1421</v>
      </c>
      <c r="S2386">
        <f>IMAGE("https://mitra.stanford.edu/kundaje/oak/projects/neuro-variants/variant_position/credible/roussos_2024/variant_figures/roussos_2024.childhood.GLU/rs4663624_count_position.png",4,220,900)</f>
        <v/>
      </c>
      <c r="T2386">
        <f>IMAGE("https://mitra.stanford.edu/kundaje/oak/projects/neuro-variants/variant_position/credible/roussos_2024/variant_figures/roussos_2024.childhood.GLU/rs4663624_profile_position.png",4,220,900)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-0.0488316756</v>
      </c>
      <c r="G2387" t="n">
        <v>0.1912359365678267</v>
      </c>
      <c r="H2387" t="n">
        <v>0.0150411936723803</v>
      </c>
      <c r="I2387" t="n">
        <v>0.2498846692560387</v>
      </c>
      <c r="J2387" t="n">
        <v>0.0252536907496883</v>
      </c>
      <c r="K2387" t="n">
        <v>0.4588245347039977</v>
      </c>
      <c r="L2387" t="b">
        <v>0</v>
      </c>
      <c r="M2387" t="b">
        <v>0</v>
      </c>
      <c r="N2387" t="inlineStr">
        <is>
          <t>ref</t>
        </is>
      </c>
      <c r="O2387" t="n">
        <v>5</v>
      </c>
      <c r="P2387" t="n">
        <v>0.0003023</v>
      </c>
      <c r="Q2387" t="n">
        <v>80</v>
      </c>
      <c r="R2387" t="n">
        <v>0.1137</v>
      </c>
      <c r="S2387">
        <f>IMAGE("https://mitra.stanford.edu/kundaje/oak/projects/neuro-variants/variant_position/credible/roussos_2024/variant_figures/roussos_2024.childhood.GLU/rs35772117_count_position.png",4,220,900)</f>
        <v/>
      </c>
      <c r="T2387">
        <f>IMAGE("https://mitra.stanford.edu/kundaje/oak/projects/neuro-variants/variant_position/credible/roussos_2024/variant_figures/roussos_2024.childhood.GLU/rs35772117_profile_position.png",4,220,900)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-0.01392967848</v>
      </c>
      <c r="G2388" t="n">
        <v>0.6082629678371781</v>
      </c>
      <c r="H2388" t="n">
        <v>0.0298456347277091</v>
      </c>
      <c r="I2388" t="n">
        <v>0.0217019308949886</v>
      </c>
      <c r="J2388" t="n">
        <v>0.178989769952713</v>
      </c>
      <c r="K2388" t="n">
        <v>0.164455159231463</v>
      </c>
      <c r="L2388" t="b">
        <v>0</v>
      </c>
      <c r="M2388" t="b">
        <v>0</v>
      </c>
      <c r="N2388" t="inlineStr">
        <is>
          <t>ref</t>
        </is>
      </c>
      <c r="O2388" t="n">
        <v>-95</v>
      </c>
      <c r="P2388" t="n">
        <v>0.02347</v>
      </c>
      <c r="Q2388" t="n">
        <v>-75</v>
      </c>
      <c r="R2388" t="n">
        <v>0.0679</v>
      </c>
      <c r="S2388">
        <f>IMAGE("https://mitra.stanford.edu/kundaje/oak/projects/neuro-variants/variant_position/credible/roussos_2024/variant_figures/roussos_2024.childhood.GLU/rs13025591_count_position.png",4,220,900)</f>
        <v/>
      </c>
      <c r="T2388">
        <f>IMAGE("https://mitra.stanford.edu/kundaje/oak/projects/neuro-variants/variant_position/credible/roussos_2024/variant_figures/roussos_2024.childhood.GLU/rs13025591_profile_position.png",4,220,900)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-0.0192366533</v>
      </c>
      <c r="G2389" t="n">
        <v>0.4604602271704663</v>
      </c>
      <c r="H2389" t="n">
        <v>0.0146191801150933</v>
      </c>
      <c r="I2389" t="n">
        <v>0.2684883321610337</v>
      </c>
      <c r="J2389" t="n">
        <v>0.062115858118619</v>
      </c>
      <c r="K2389" t="n">
        <v>0.3180550989366237</v>
      </c>
      <c r="L2389" t="b">
        <v>0</v>
      </c>
      <c r="M2389" t="b">
        <v>0</v>
      </c>
      <c r="N2389" t="inlineStr">
        <is>
          <t>ref</t>
        </is>
      </c>
      <c r="O2389" t="n">
        <v>95</v>
      </c>
      <c r="P2389" t="n">
        <v>0.004234</v>
      </c>
      <c r="Q2389" t="n">
        <v>-15</v>
      </c>
      <c r="R2389" t="n">
        <v>0.04922</v>
      </c>
      <c r="S2389">
        <f>IMAGE("https://mitra.stanford.edu/kundaje/oak/projects/neuro-variants/variant_position/credible/roussos_2024/variant_figures/roussos_2024.childhood.GLU/rs10192764_count_position.png",4,220,900)</f>
        <v/>
      </c>
      <c r="T2389">
        <f>IMAGE("https://mitra.stanford.edu/kundaje/oak/projects/neuro-variants/variant_position/credible/roussos_2024/variant_figures/roussos_2024.childhood.GLU/rs10192764_profile_position.png",4,220,900)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0.085906437</v>
      </c>
      <c r="G2390" t="n">
        <v>0.0611996483739924</v>
      </c>
      <c r="H2390" t="n">
        <v>0.0222299495127373</v>
      </c>
      <c r="I2390" t="n">
        <v>0.0705060310804814</v>
      </c>
      <c r="J2390" t="n">
        <v>0.2748895093080037</v>
      </c>
      <c r="K2390" t="n">
        <v>0.1069720463079348</v>
      </c>
      <c r="L2390" t="b">
        <v>0</v>
      </c>
      <c r="M2390" t="b">
        <v>0</v>
      </c>
      <c r="N2390" t="inlineStr">
        <is>
          <t>alt</t>
        </is>
      </c>
      <c r="O2390" t="n">
        <v>90</v>
      </c>
      <c r="P2390" t="n">
        <v>0.014404</v>
      </c>
      <c r="Q2390" t="n">
        <v>75</v>
      </c>
      <c r="R2390" t="n">
        <v>0.1249</v>
      </c>
      <c r="S2390">
        <f>IMAGE("https://mitra.stanford.edu/kundaje/oak/projects/neuro-variants/variant_position/credible/roussos_2024/variant_figures/roussos_2024.childhood.GLU/rs6747286_count_position.png",4,220,900)</f>
        <v/>
      </c>
      <c r="T2390">
        <f>IMAGE("https://mitra.stanford.edu/kundaje/oak/projects/neuro-variants/variant_position/credible/roussos_2024/variant_figures/roussos_2024.childhood.GLU/rs6747286_profile_position.png",4,220,900)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0.0362620654</v>
      </c>
      <c r="G2391" t="n">
        <v>0.2774832182266478</v>
      </c>
      <c r="H2391" t="n">
        <v>0.0137656007561642</v>
      </c>
      <c r="I2391" t="n">
        <v>0.3180290797568324</v>
      </c>
      <c r="J2391" t="n">
        <v>0.1196482841748482</v>
      </c>
      <c r="K2391" t="n">
        <v>0.228155105179286</v>
      </c>
      <c r="L2391" t="b">
        <v>0</v>
      </c>
      <c r="M2391" t="b">
        <v>0</v>
      </c>
      <c r="N2391" t="inlineStr">
        <is>
          <t>alt</t>
        </is>
      </c>
      <c r="O2391" t="n">
        <v>60</v>
      </c>
      <c r="P2391" t="n">
        <v>0.00856</v>
      </c>
      <c r="Q2391" t="n">
        <v>45</v>
      </c>
      <c r="R2391" t="n">
        <v>0.1316</v>
      </c>
      <c r="S2391">
        <f>IMAGE("https://mitra.stanford.edu/kundaje/oak/projects/neuro-variants/variant_position/credible/roussos_2024/variant_figures/roussos_2024.childhood.GLU/rs1962550_count_position.png",4,220,900)</f>
        <v/>
      </c>
      <c r="T2391">
        <f>IMAGE("https://mitra.stanford.edu/kundaje/oak/projects/neuro-variants/variant_position/credible/roussos_2024/variant_figures/roussos_2024.childhood.GLU/rs1962550_profile_position.png",4,220,900)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0.0683060524</v>
      </c>
      <c r="G2392" t="n">
        <v>0.102431673802365</v>
      </c>
      <c r="H2392" t="n">
        <v>0.0139077154025466</v>
      </c>
      <c r="I2392" t="n">
        <v>0.3035364975056915</v>
      </c>
      <c r="J2392" t="n">
        <v>0.1782902531241307</v>
      </c>
      <c r="K2392" t="n">
        <v>0.1661447985060285</v>
      </c>
      <c r="L2392" t="b">
        <v>0</v>
      </c>
      <c r="M2392" t="b">
        <v>0</v>
      </c>
      <c r="N2392" t="inlineStr">
        <is>
          <t>alt</t>
        </is>
      </c>
      <c r="O2392" t="n">
        <v>-100</v>
      </c>
      <c r="P2392" t="n">
        <v>0.005035</v>
      </c>
      <c r="Q2392" t="n">
        <v>-20</v>
      </c>
      <c r="R2392" t="n">
        <v>0.00818</v>
      </c>
      <c r="S2392">
        <f>IMAGE("https://mitra.stanford.edu/kundaje/oak/projects/neuro-variants/variant_position/credible/roussos_2024/variant_figures/roussos_2024.childhood.GLU/rs13031349_count_position.png",4,220,900)</f>
        <v/>
      </c>
      <c r="T2392">
        <f>IMAGE("https://mitra.stanford.edu/kundaje/oak/projects/neuro-variants/variant_position/credible/roussos_2024/variant_figures/roussos_2024.childhood.GLU/rs13031349_profile_position.png",4,220,900)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0.00343286726</v>
      </c>
      <c r="G2393" t="n">
        <v>0.7671061394168801</v>
      </c>
      <c r="H2393" t="n">
        <v>0.008482750351592801</v>
      </c>
      <c r="I2393" t="n">
        <v>0.8310547328726587</v>
      </c>
      <c r="J2393" t="n">
        <v>0.3734018770539936</v>
      </c>
      <c r="K2393" t="n">
        <v>0.0719777477783813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0.0675</v>
      </c>
      <c r="Q2393" t="n">
        <v>-15</v>
      </c>
      <c r="R2393" t="n">
        <v>0.02185</v>
      </c>
      <c r="S2393">
        <f>IMAGE("https://mitra.stanford.edu/kundaje/oak/projects/neuro-variants/variant_position/credible/roussos_2024/variant_figures/roussos_2024.childhood.GLU/rs3738994_count_position.png",4,220,900)</f>
        <v/>
      </c>
      <c r="T2393">
        <f>IMAGE("https://mitra.stanford.edu/kundaje/oak/projects/neuro-variants/variant_position/credible/roussos_2024/variant_figures/roussos_2024.childhood.GLU/rs3738994_profile_position.png",4,220,900)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-0.02837050806</v>
      </c>
      <c r="G2394" t="n">
        <v>0.376406553476668</v>
      </c>
      <c r="H2394" t="n">
        <v>0.0133541439620311</v>
      </c>
      <c r="I2394" t="n">
        <v>0.3500125448262274</v>
      </c>
      <c r="J2394" t="n">
        <v>0.3592436152348378</v>
      </c>
      <c r="K2394" t="n">
        <v>0.0762846750243234</v>
      </c>
      <c r="L2394" t="b">
        <v>0</v>
      </c>
      <c r="M2394" t="b">
        <v>0</v>
      </c>
      <c r="N2394" t="inlineStr">
        <is>
          <t>ref</t>
        </is>
      </c>
      <c r="O2394" t="n">
        <v>75</v>
      </c>
      <c r="P2394" t="n">
        <v>0.09032999999999999</v>
      </c>
      <c r="Q2394" t="n">
        <v>-95</v>
      </c>
      <c r="R2394" t="n">
        <v>0.2842</v>
      </c>
      <c r="S2394">
        <f>IMAGE("https://mitra.stanford.edu/kundaje/oak/projects/neuro-variants/variant_position/credible/roussos_2024/variant_figures/roussos_2024.childhood.GLU/rs3738993_count_position.png",4,220,900)</f>
        <v/>
      </c>
      <c r="T2394">
        <f>IMAGE("https://mitra.stanford.edu/kundaje/oak/projects/neuro-variants/variant_position/credible/roussos_2024/variant_figures/roussos_2024.childhood.GLU/rs3738993_profile_position.png",4,220,900)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-0.0489197876</v>
      </c>
      <c r="G2395" t="n">
        <v>0.1900525465171391</v>
      </c>
      <c r="H2395" t="n">
        <v>0.0163742071772018</v>
      </c>
      <c r="I2395" t="n">
        <v>0.1956616501045477</v>
      </c>
      <c r="J2395" t="n">
        <v>0.3103062832888623</v>
      </c>
      <c r="K2395" t="n">
        <v>0.092963675951095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0.0493</v>
      </c>
      <c r="Q2395" t="n">
        <v>-80</v>
      </c>
      <c r="R2395" t="n">
        <v>0.175</v>
      </c>
      <c r="S2395">
        <f>IMAGE("https://mitra.stanford.edu/kundaje/oak/projects/neuro-variants/variant_position/credible/roussos_2024/variant_figures/roussos_2024.childhood.GLU/rs12053257_count_position.png",4,220,900)</f>
        <v/>
      </c>
      <c r="T2395">
        <f>IMAGE("https://mitra.stanford.edu/kundaje/oak/projects/neuro-variants/variant_position/credible/roussos_2024/variant_figures/roussos_2024.childhood.GLU/rs12053257_profile_position.png",4,220,900)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0.00342287606</v>
      </c>
      <c r="G2396" t="n">
        <v>0.6920653249281823</v>
      </c>
      <c r="H2396" t="n">
        <v>0.009682014155616699</v>
      </c>
      <c r="I2396" t="n">
        <v>0.6977537490396692</v>
      </c>
      <c r="J2396" t="n">
        <v>0.5694623301430971</v>
      </c>
      <c r="K2396" t="n">
        <v>0.030532123126282</v>
      </c>
      <c r="L2396" t="b">
        <v>0</v>
      </c>
      <c r="M2396" t="b">
        <v>0</v>
      </c>
      <c r="N2396" t="inlineStr">
        <is>
          <t>alt</t>
        </is>
      </c>
      <c r="O2396" t="n">
        <v>95</v>
      </c>
      <c r="P2396" t="n">
        <v>0.0261</v>
      </c>
      <c r="Q2396" t="n">
        <v>35</v>
      </c>
      <c r="R2396" t="n">
        <v>0.09485</v>
      </c>
      <c r="S2396">
        <f>IMAGE("https://mitra.stanford.edu/kundaje/oak/projects/neuro-variants/variant_position/credible/roussos_2024/variant_figures/roussos_2024.childhood.GLU/rs2123511_count_position.png",4,220,900)</f>
        <v/>
      </c>
      <c r="T2396">
        <f>IMAGE("https://mitra.stanford.edu/kundaje/oak/projects/neuro-variants/variant_position/credible/roussos_2024/variant_figures/roussos_2024.childhood.GLU/rs2123511_profile_position.png",4,220,900)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-0.04752387122</v>
      </c>
      <c r="G2397" t="n">
        <v>0.1772000783892138</v>
      </c>
      <c r="H2397" t="n">
        <v>0.0245221044649842</v>
      </c>
      <c r="I2397" t="n">
        <v>0.0492970876345622</v>
      </c>
      <c r="J2397" t="n">
        <v>0.2164267979848969</v>
      </c>
      <c r="K2397" t="n">
        <v>0.1379332149491992</v>
      </c>
      <c r="L2397" t="b">
        <v>0</v>
      </c>
      <c r="M2397" t="b">
        <v>0</v>
      </c>
      <c r="N2397" t="inlineStr">
        <is>
          <t>ref</t>
        </is>
      </c>
      <c r="O2397" t="n">
        <v>80</v>
      </c>
      <c r="P2397" t="n">
        <v>0.001938</v>
      </c>
      <c r="Q2397" t="n">
        <v>5</v>
      </c>
      <c r="R2397" t="n">
        <v>0.007202</v>
      </c>
      <c r="S2397">
        <f>IMAGE("https://mitra.stanford.edu/kundaje/oak/projects/neuro-variants/variant_position/credible/roussos_2024/variant_figures/roussos_2024.childhood.GLU/rs11692136_count_position.png",4,220,900)</f>
        <v/>
      </c>
      <c r="T2397">
        <f>IMAGE("https://mitra.stanford.edu/kundaje/oak/projects/neuro-variants/variant_position/credible/roussos_2024/variant_figures/roussos_2024.childhood.GLU/rs11692136_profile_position.png",4,220,900)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-0.0480444664</v>
      </c>
      <c r="G2398" t="n">
        <v>0.1906677037251176</v>
      </c>
      <c r="H2398" t="n">
        <v>0.0136170702405663</v>
      </c>
      <c r="I2398" t="n">
        <v>0.3244985785922739</v>
      </c>
      <c r="J2398" t="n">
        <v>0.1637199048080191</v>
      </c>
      <c r="K2398" t="n">
        <v>0.1755437940037262</v>
      </c>
      <c r="L2398" t="b">
        <v>0</v>
      </c>
      <c r="M2398" t="b">
        <v>0</v>
      </c>
      <c r="N2398" t="inlineStr">
        <is>
          <t>ref</t>
        </is>
      </c>
      <c r="O2398" t="n">
        <v>40</v>
      </c>
      <c r="P2398" t="n">
        <v>0.0015335</v>
      </c>
      <c r="Q2398" t="n">
        <v>-90</v>
      </c>
      <c r="R2398" t="n">
        <v>0.057</v>
      </c>
      <c r="S2398">
        <f>IMAGE("https://mitra.stanford.edu/kundaje/oak/projects/neuro-variants/variant_position/credible/roussos_2024/variant_figures/roussos_2024.childhood.GLU/rs876739_count_position.png",4,220,900)</f>
        <v/>
      </c>
      <c r="T2398">
        <f>IMAGE("https://mitra.stanford.edu/kundaje/oak/projects/neuro-variants/variant_position/credible/roussos_2024/variant_figures/roussos_2024.childhood.GLU/rs876739_profile_position.png",4,220,900)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-0.1680703492</v>
      </c>
      <c r="G2399" t="n">
        <v>0.0153056824503482</v>
      </c>
      <c r="H2399" t="n">
        <v>0.0372513213533639</v>
      </c>
      <c r="I2399" t="n">
        <v>0.0100697299779373</v>
      </c>
      <c r="J2399" t="n">
        <v>0.2347110758548218</v>
      </c>
      <c r="K2399" t="n">
        <v>0.1271366682945423</v>
      </c>
      <c r="L2399" t="b">
        <v>1</v>
      </c>
      <c r="M2399" t="b">
        <v>0</v>
      </c>
      <c r="N2399" t="inlineStr">
        <is>
          <t>ref</t>
        </is>
      </c>
      <c r="O2399" t="n">
        <v>-10</v>
      </c>
      <c r="P2399" t="n">
        <v>0.002151</v>
      </c>
      <c r="Q2399" t="n">
        <v>-40</v>
      </c>
      <c r="R2399" t="n">
        <v>0.11755</v>
      </c>
      <c r="S2399">
        <f>IMAGE("https://mitra.stanford.edu/kundaje/oak/projects/neuro-variants/variant_position/credible/roussos_2024/variant_figures/roussos_2024.childhood.GLU/rs3754659_count_position.png",4,220,900)</f>
        <v/>
      </c>
      <c r="T2399">
        <f>IMAGE("https://mitra.stanford.edu/kundaje/oak/projects/neuro-variants/variant_position/credible/roussos_2024/variant_figures/roussos_2024.childhood.GLU/rs3754659_profile_position.png",4,220,900)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0.0005637762</v>
      </c>
      <c r="G2400" t="n">
        <v>0.6893653954774438</v>
      </c>
      <c r="H2400" t="n">
        <v>0.0079565095814114</v>
      </c>
      <c r="I2400" t="n">
        <v>0.866596128058258</v>
      </c>
      <c r="J2400" t="n">
        <v>0.2292220837153718</v>
      </c>
      <c r="K2400" t="n">
        <v>0.1304430448266107</v>
      </c>
      <c r="L2400" t="b">
        <v>0</v>
      </c>
      <c r="M2400" t="b">
        <v>0</v>
      </c>
      <c r="N2400" t="inlineStr">
        <is>
          <t>alt</t>
        </is>
      </c>
      <c r="O2400" t="n">
        <v>50</v>
      </c>
      <c r="P2400" t="n">
        <v>0.002441</v>
      </c>
      <c r="Q2400" t="n">
        <v>30</v>
      </c>
      <c r="R2400" t="n">
        <v>0.02173</v>
      </c>
      <c r="S2400">
        <f>IMAGE("https://mitra.stanford.edu/kundaje/oak/projects/neuro-variants/variant_position/credible/roussos_2024/variant_figures/roussos_2024.childhood.GLU/rs2247983_count_position.png",4,220,900)</f>
        <v/>
      </c>
      <c r="T2400">
        <f>IMAGE("https://mitra.stanford.edu/kundaje/oak/projects/neuro-variants/variant_position/credible/roussos_2024/variant_figures/roussos_2024.childhood.GLU/rs2247983_profile_position.png",4,220,900)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-0.00171209342</v>
      </c>
      <c r="G2401" t="n">
        <v>0.8199700600840033</v>
      </c>
      <c r="H2401" t="n">
        <v>0.0061665122918323</v>
      </c>
      <c r="I2401" t="n">
        <v>0.9785784903343696</v>
      </c>
      <c r="J2401" t="n">
        <v>0.07241183924505749</v>
      </c>
      <c r="K2401" t="n">
        <v>0.2936225895427019</v>
      </c>
      <c r="L2401" t="b">
        <v>0</v>
      </c>
      <c r="M2401" t="b">
        <v>0</v>
      </c>
      <c r="N2401" t="inlineStr">
        <is>
          <t>ref</t>
        </is>
      </c>
      <c r="O2401" t="n">
        <v>-25</v>
      </c>
      <c r="P2401" t="n">
        <v>0.003117</v>
      </c>
      <c r="Q2401" t="n">
        <v>-95</v>
      </c>
      <c r="R2401" t="n">
        <v>0.05096</v>
      </c>
      <c r="S2401">
        <f>IMAGE("https://mitra.stanford.edu/kundaje/oak/projects/neuro-variants/variant_position/credible/roussos_2024/variant_figures/roussos_2024.childhood.GLU/rs6129108_count_position.png",4,220,900)</f>
        <v/>
      </c>
      <c r="T2401">
        <f>IMAGE("https://mitra.stanford.edu/kundaje/oak/projects/neuro-variants/variant_position/credible/roussos_2024/variant_figures/roussos_2024.childhood.GLU/rs6129108_profile_position.png",4,220,900)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0.0012591780799999</v>
      </c>
      <c r="G2402" t="n">
        <v>0.7648490033257415</v>
      </c>
      <c r="H2402" t="n">
        <v>0.008527623008749799</v>
      </c>
      <c r="I2402" t="n">
        <v>0.8140185127980807</v>
      </c>
      <c r="J2402" t="n">
        <v>0.4487724973471931</v>
      </c>
      <c r="K2402" t="n">
        <v>0.0522050251672116</v>
      </c>
      <c r="L2402" t="b">
        <v>0</v>
      </c>
      <c r="M2402" t="b">
        <v>0</v>
      </c>
      <c r="N2402" t="inlineStr">
        <is>
          <t>alt</t>
        </is>
      </c>
      <c r="O2402" t="n">
        <v>65</v>
      </c>
      <c r="P2402" t="n">
        <v>0.002602</v>
      </c>
      <c r="Q2402" t="n">
        <v>100</v>
      </c>
      <c r="R2402" t="n">
        <v>0.07275</v>
      </c>
      <c r="S2402">
        <f>IMAGE("https://mitra.stanford.edu/kundaje/oak/projects/neuro-variants/variant_position/credible/roussos_2024/variant_figures/roussos_2024.childhood.GLU/rs6129111_count_position.png",4,220,900)</f>
        <v/>
      </c>
      <c r="T2402">
        <f>IMAGE("https://mitra.stanford.edu/kundaje/oak/projects/neuro-variants/variant_position/credible/roussos_2024/variant_figures/roussos_2024.childhood.GLU/rs6129111_profile_position.png",4,220,900)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-0.0337071376</v>
      </c>
      <c r="G2403" t="n">
        <v>0.3092872922041346</v>
      </c>
      <c r="H2403" t="n">
        <v>0.0141301270637789</v>
      </c>
      <c r="I2403" t="n">
        <v>0.2933148342623313</v>
      </c>
      <c r="J2403" t="n">
        <v>0.3011589932726878</v>
      </c>
      <c r="K2403" t="n">
        <v>0.096652616169585</v>
      </c>
      <c r="L2403" t="b">
        <v>0</v>
      </c>
      <c r="M2403" t="b">
        <v>0</v>
      </c>
      <c r="N2403" t="inlineStr">
        <is>
          <t>ref</t>
        </is>
      </c>
      <c r="O2403" t="n">
        <v>-75</v>
      </c>
      <c r="P2403" t="n">
        <v>0.00674</v>
      </c>
      <c r="Q2403" t="n">
        <v>20</v>
      </c>
      <c r="R2403" t="n">
        <v>0.02205</v>
      </c>
      <c r="S2403">
        <f>IMAGE("https://mitra.stanford.edu/kundaje/oak/projects/neuro-variants/variant_position/credible/roussos_2024/variant_figures/roussos_2024.childhood.GLU/rs1006945_count_position.png",4,220,900)</f>
        <v/>
      </c>
      <c r="T2403">
        <f>IMAGE("https://mitra.stanford.edu/kundaje/oak/projects/neuro-variants/variant_position/credible/roussos_2024/variant_figures/roussos_2024.childhood.GLU/rs1006945_profile_position.png",4,220,900)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-0.356834544</v>
      </c>
      <c r="G2404" t="n">
        <v>0.0012533722576871</v>
      </c>
      <c r="H2404" t="n">
        <v>0.047030931083382</v>
      </c>
      <c r="I2404" t="n">
        <v>0.0035392055597703</v>
      </c>
      <c r="J2404" t="n">
        <v>0.244376564640918</v>
      </c>
      <c r="K2404" t="n">
        <v>0.1252224385973156</v>
      </c>
      <c r="L2404" t="b">
        <v>1</v>
      </c>
      <c r="M2404" t="b">
        <v>1</v>
      </c>
      <c r="N2404" t="inlineStr">
        <is>
          <t>ref</t>
        </is>
      </c>
      <c r="O2404" t="n">
        <v>-80</v>
      </c>
      <c r="P2404" t="n">
        <v>0.005867</v>
      </c>
      <c r="Q2404" t="n">
        <v>70</v>
      </c>
      <c r="R2404" t="n">
        <v>0.0708</v>
      </c>
      <c r="S2404">
        <f>IMAGE("https://mitra.stanford.edu/kundaje/oak/projects/neuro-variants/variant_position/credible/roussos_2024/variant_figures/roussos_2024.childhood.GLU/rs4812319_count_position.png",4,220,900)</f>
        <v/>
      </c>
      <c r="T2404">
        <f>IMAGE("https://mitra.stanford.edu/kundaje/oak/projects/neuro-variants/variant_position/credible/roussos_2024/variant_figures/roussos_2024.childhood.GLU/rs4812319_profile_position.png",4,220,900)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-0.0170895846</v>
      </c>
      <c r="G2405" t="n">
        <v>0.5194517510511526</v>
      </c>
      <c r="H2405" t="n">
        <v>0.0090178955062478</v>
      </c>
      <c r="I2405" t="n">
        <v>0.7607049939329935</v>
      </c>
      <c r="J2405" t="n">
        <v>0.3969423181925886</v>
      </c>
      <c r="K2405" t="n">
        <v>0.06532812896492871</v>
      </c>
      <c r="L2405" t="b">
        <v>0</v>
      </c>
      <c r="M2405" t="b">
        <v>0</v>
      </c>
      <c r="N2405" t="inlineStr">
        <is>
          <t>ref</t>
        </is>
      </c>
      <c r="O2405" t="n">
        <v>-80</v>
      </c>
      <c r="P2405" t="n">
        <v>0.01794</v>
      </c>
      <c r="Q2405" t="n">
        <v>-70</v>
      </c>
      <c r="R2405" t="n">
        <v>0.3455</v>
      </c>
      <c r="S2405">
        <f>IMAGE("https://mitra.stanford.edu/kundaje/oak/projects/neuro-variants/variant_position/credible/roussos_2024/variant_figures/roussos_2024.childhood.GLU/rs6028167_count_position.png",4,220,900)</f>
        <v/>
      </c>
      <c r="T2405">
        <f>IMAGE("https://mitra.stanford.edu/kundaje/oak/projects/neuro-variants/variant_position/credible/roussos_2024/variant_figures/roussos_2024.childhood.GLU/rs6028167_profile_position.png",4,220,900)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-0.008934393719999999</v>
      </c>
      <c r="G2406" t="n">
        <v>0.6894895553876611</v>
      </c>
      <c r="H2406" t="n">
        <v>0.0087856919891927</v>
      </c>
      <c r="I2406" t="n">
        <v>0.7869720369653863</v>
      </c>
      <c r="J2406" t="n">
        <v>0.0678098632903046</v>
      </c>
      <c r="K2406" t="n">
        <v>0.3068422422428464</v>
      </c>
      <c r="L2406" t="b">
        <v>0</v>
      </c>
      <c r="M2406" t="b">
        <v>0</v>
      </c>
      <c r="N2406" t="inlineStr">
        <is>
          <t>ref</t>
        </is>
      </c>
      <c r="O2406" t="n">
        <v>-20</v>
      </c>
      <c r="P2406" t="n">
        <v>0.001205</v>
      </c>
      <c r="Q2406" t="n">
        <v>55</v>
      </c>
      <c r="R2406" t="n">
        <v>0.05066</v>
      </c>
      <c r="S2406">
        <f>IMAGE("https://mitra.stanford.edu/kundaje/oak/projects/neuro-variants/variant_position/credible/roussos_2024/variant_figures/roussos_2024.childhood.GLU/rs4812324_count_position.png",4,220,900)</f>
        <v/>
      </c>
      <c r="T2406">
        <f>IMAGE("https://mitra.stanford.edu/kundaje/oak/projects/neuro-variants/variant_position/credible/roussos_2024/variant_figures/roussos_2024.childhood.GLU/rs4812324_profile_position.png",4,220,900)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-0.0466992181999999</v>
      </c>
      <c r="G2407" t="n">
        <v>0.2042965749175078</v>
      </c>
      <c r="H2407" t="n">
        <v>0.018151870899786</v>
      </c>
      <c r="I2407" t="n">
        <v>0.1385261725804963</v>
      </c>
      <c r="J2407" t="n">
        <v>0.0932428116661687</v>
      </c>
      <c r="K2407" t="n">
        <v>0.2555052262567151</v>
      </c>
      <c r="L2407" t="b">
        <v>0</v>
      </c>
      <c r="M2407" t="b">
        <v>0</v>
      </c>
      <c r="N2407" t="inlineStr">
        <is>
          <t>ref</t>
        </is>
      </c>
      <c r="O2407" t="n">
        <v>100</v>
      </c>
      <c r="P2407" t="n">
        <v>0.00522</v>
      </c>
      <c r="Q2407" t="n">
        <v>100</v>
      </c>
      <c r="R2407" t="n">
        <v>0.2334</v>
      </c>
      <c r="S2407">
        <f>IMAGE("https://mitra.stanford.edu/kundaje/oak/projects/neuro-variants/variant_position/credible/roussos_2024/variant_figures/roussos_2024.childhood.GLU/rs2425614_count_position.png",4,220,900)</f>
        <v/>
      </c>
      <c r="T2407">
        <f>IMAGE("https://mitra.stanford.edu/kundaje/oak/projects/neuro-variants/variant_position/credible/roussos_2024/variant_figures/roussos_2024.childhood.GLU/rs2425614_profile_position.png",4,220,900)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0.0727500136</v>
      </c>
      <c r="G2408" t="n">
        <v>0.0875260341999666</v>
      </c>
      <c r="H2408" t="n">
        <v>0.009811949743352101</v>
      </c>
      <c r="I2408" t="n">
        <v>0.6862386771052885</v>
      </c>
      <c r="J2408" t="n">
        <v>0.1273233951806483</v>
      </c>
      <c r="K2408" t="n">
        <v>0.2086495030058562</v>
      </c>
      <c r="L2408" t="b">
        <v>0</v>
      </c>
      <c r="M2408" t="b">
        <v>0</v>
      </c>
      <c r="N2408" t="inlineStr">
        <is>
          <t>alt</t>
        </is>
      </c>
      <c r="O2408" t="n">
        <v>55</v>
      </c>
      <c r="P2408" t="n">
        <v>0.003067</v>
      </c>
      <c r="Q2408" t="n">
        <v>-15</v>
      </c>
      <c r="R2408" t="n">
        <v>0.02783</v>
      </c>
      <c r="S2408">
        <f>IMAGE("https://mitra.stanford.edu/kundaje/oak/projects/neuro-variants/variant_position/credible/roussos_2024/variant_figures/roussos_2024.childhood.GLU/rs926288_count_position.png",4,220,900)</f>
        <v/>
      </c>
      <c r="T2408">
        <f>IMAGE("https://mitra.stanford.edu/kundaje/oak/projects/neuro-variants/variant_position/credible/roussos_2024/variant_figures/roussos_2024.childhood.GLU/rs926288_profile_position.png",4,220,900)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0.118434132</v>
      </c>
      <c r="G2409" t="n">
        <v>0.0306128768432658</v>
      </c>
      <c r="H2409" t="n">
        <v>0.0176851363753259</v>
      </c>
      <c r="I2409" t="n">
        <v>0.1463754213752914</v>
      </c>
      <c r="J2409" t="n">
        <v>0.1562559881319088</v>
      </c>
      <c r="K2409" t="n">
        <v>0.1814488376218431</v>
      </c>
      <c r="L2409" t="b">
        <v>0</v>
      </c>
      <c r="M2409" t="b">
        <v>0</v>
      </c>
      <c r="N2409" t="inlineStr">
        <is>
          <t>alt</t>
        </is>
      </c>
      <c r="O2409" t="n">
        <v>90</v>
      </c>
      <c r="P2409" t="n">
        <v>0.002369</v>
      </c>
      <c r="Q2409" t="n">
        <v>-100</v>
      </c>
      <c r="R2409" t="n">
        <v>0.1775</v>
      </c>
      <c r="S2409">
        <f>IMAGE("https://mitra.stanford.edu/kundaje/oak/projects/neuro-variants/variant_position/credible/roussos_2024/variant_figures/roussos_2024.childhood.GLU/rs3950190_count_position.png",4,220,900)</f>
        <v/>
      </c>
      <c r="T2409">
        <f>IMAGE("https://mitra.stanford.edu/kundaje/oak/projects/neuro-variants/variant_position/credible/roussos_2024/variant_figures/roussos_2024.childhood.GLU/rs3950190_profile_position.png",4,220,900)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0.0541647429999999</v>
      </c>
      <c r="G2410" t="n">
        <v>0.1622331458289272</v>
      </c>
      <c r="H2410" t="n">
        <v>0.0105492461059651</v>
      </c>
      <c r="I2410" t="n">
        <v>0.5942029455686344</v>
      </c>
      <c r="J2410" t="n">
        <v>0.0882225679170057</v>
      </c>
      <c r="K2410" t="n">
        <v>0.2679477533195347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0.01599</v>
      </c>
      <c r="Q2410" t="n">
        <v>100</v>
      </c>
      <c r="R2410" t="n">
        <v>0.05756</v>
      </c>
      <c r="S2410">
        <f>IMAGE("https://mitra.stanford.edu/kundaje/oak/projects/neuro-variants/variant_position/credible/roussos_2024/variant_figures/roussos_2024.childhood.GLU/rs1569440_count_position.png",4,220,900)</f>
        <v/>
      </c>
      <c r="T2410">
        <f>IMAGE("https://mitra.stanford.edu/kundaje/oak/projects/neuro-variants/variant_position/credible/roussos_2024/variant_figures/roussos_2024.childhood.GLU/rs1569440_profile_position.png",4,220,900)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0.0065083414199999</v>
      </c>
      <c r="G2411" t="n">
        <v>0.5218307379573924</v>
      </c>
      <c r="H2411" t="n">
        <v>0.0261148924736646</v>
      </c>
      <c r="I2411" t="n">
        <v>0.0368215400513721</v>
      </c>
      <c r="J2411" t="n">
        <v>0.0251053396107842</v>
      </c>
      <c r="K2411" t="n">
        <v>0.4588912832288356</v>
      </c>
      <c r="L2411" t="b">
        <v>0</v>
      </c>
      <c r="M2411" t="b">
        <v>0</v>
      </c>
      <c r="N2411" t="inlineStr">
        <is>
          <t>alt</t>
        </is>
      </c>
      <c r="O2411" t="n">
        <v>-75</v>
      </c>
      <c r="P2411" t="n">
        <v>0.02582</v>
      </c>
      <c r="Q2411" t="n">
        <v>60</v>
      </c>
      <c r="R2411" t="n">
        <v>0.154</v>
      </c>
      <c r="S2411">
        <f>IMAGE("https://mitra.stanford.edu/kundaje/oak/projects/neuro-variants/variant_position/credible/roussos_2024/variant_figures/roussos_2024.childhood.GLU/rs6017460_count_position.png",4,220,900)</f>
        <v/>
      </c>
      <c r="T2411">
        <f>IMAGE("https://mitra.stanford.edu/kundaje/oak/projects/neuro-variants/variant_position/credible/roussos_2024/variant_figures/roussos_2024.childhood.GLU/rs6017460_profile_position.png",4,220,900)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0.0095712537999999</v>
      </c>
      <c r="G2412" t="n">
        <v>0.0963769704719343</v>
      </c>
      <c r="H2412" t="n">
        <v>0.0260782991950838</v>
      </c>
      <c r="I2412" t="n">
        <v>0.0396750067105462</v>
      </c>
      <c r="J2412" t="n">
        <v>0.4284968114807298</v>
      </c>
      <c r="K2412" t="n">
        <v>0.0573710572365516</v>
      </c>
      <c r="L2412" t="b">
        <v>0</v>
      </c>
      <c r="M2412" t="b">
        <v>0</v>
      </c>
      <c r="N2412" t="inlineStr">
        <is>
          <t>alt</t>
        </is>
      </c>
      <c r="O2412" t="n">
        <v>-60</v>
      </c>
      <c r="P2412" t="n">
        <v>0.02565</v>
      </c>
      <c r="Q2412" t="n">
        <v>-95</v>
      </c>
      <c r="R2412" t="n">
        <v>0.158</v>
      </c>
      <c r="S2412">
        <f>IMAGE("https://mitra.stanford.edu/kundaje/oak/projects/neuro-variants/variant_position/credible/roussos_2024/variant_figures/roussos_2024.childhood.GLU/rs12624433_count_position.png",4,220,900)</f>
        <v/>
      </c>
      <c r="T2412">
        <f>IMAGE("https://mitra.stanford.edu/kundaje/oak/projects/neuro-variants/variant_position/credible/roussos_2024/variant_figures/roussos_2024.childhood.GLU/rs12624433_profile_position.png",4,220,900)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0.0380827591999999</v>
      </c>
      <c r="G2413" t="n">
        <v>0.2507819956197369</v>
      </c>
      <c r="H2413" t="n">
        <v>0.0120535254263289</v>
      </c>
      <c r="I2413" t="n">
        <v>0.4506784839271142</v>
      </c>
      <c r="J2413" t="n">
        <v>0.062716474187932</v>
      </c>
      <c r="K2413" t="n">
        <v>0.3304628115680135</v>
      </c>
      <c r="L2413" t="b">
        <v>0</v>
      </c>
      <c r="M2413" t="b">
        <v>0</v>
      </c>
      <c r="N2413" t="inlineStr">
        <is>
          <t>alt</t>
        </is>
      </c>
      <c r="O2413" t="n">
        <v>-90</v>
      </c>
      <c r="P2413" t="n">
        <v>0.014694</v>
      </c>
      <c r="Q2413" t="n">
        <v>-100</v>
      </c>
      <c r="R2413" t="n">
        <v>0.1821</v>
      </c>
      <c r="S2413">
        <f>IMAGE("https://mitra.stanford.edu/kundaje/oak/projects/neuro-variants/variant_position/credible/roussos_2024/variant_figures/roussos_2024.childhood.GLU/rs4578918_count_position.png",4,220,900)</f>
        <v/>
      </c>
      <c r="T2413">
        <f>IMAGE("https://mitra.stanford.edu/kundaje/oak/projects/neuro-variants/variant_position/credible/roussos_2024/variant_figures/roussos_2024.childhood.GLU/rs4578918_profile_position.png",4,220,900)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0.0356132065999999</v>
      </c>
      <c r="G2414" t="n">
        <v>0.2716131936775828</v>
      </c>
      <c r="H2414" t="n">
        <v>0.0161420576849445</v>
      </c>
      <c r="I2414" t="n">
        <v>0.1982131919337084</v>
      </c>
      <c r="J2414" t="n">
        <v>0.0171191032997825</v>
      </c>
      <c r="K2414" t="n">
        <v>0.5101100090331872</v>
      </c>
      <c r="L2414" t="b">
        <v>0</v>
      </c>
      <c r="M2414" t="b">
        <v>0</v>
      </c>
      <c r="N2414" t="inlineStr">
        <is>
          <t>alt</t>
        </is>
      </c>
      <c r="O2414" t="n">
        <v>100</v>
      </c>
      <c r="P2414" t="n">
        <v>0.008399999999999999</v>
      </c>
      <c r="Q2414" t="n">
        <v>100</v>
      </c>
      <c r="R2414" t="n">
        <v>0.1106</v>
      </c>
      <c r="S2414">
        <f>IMAGE("https://mitra.stanford.edu/kundaje/oak/projects/neuro-variants/variant_position/credible/roussos_2024/variant_figures/roussos_2024.childhood.GLU/rs6065926_count_position.png",4,220,900)</f>
        <v/>
      </c>
      <c r="T2414">
        <f>IMAGE("https://mitra.stanford.edu/kundaje/oak/projects/neuro-variants/variant_position/credible/roussos_2024/variant_figures/roussos_2024.childhood.GLU/rs6065926_profile_position.png",4,220,900)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-0.0915370338</v>
      </c>
      <c r="G2415" t="n">
        <v>0.0567281486768247</v>
      </c>
      <c r="H2415" t="n">
        <v>0.0138712980541013</v>
      </c>
      <c r="I2415" t="n">
        <v>0.3006788502616602</v>
      </c>
      <c r="J2415" t="n">
        <v>0.0869502508576549</v>
      </c>
      <c r="K2415" t="n">
        <v>0.2860396638148075</v>
      </c>
      <c r="L2415" t="b">
        <v>0</v>
      </c>
      <c r="M2415" t="b">
        <v>0</v>
      </c>
      <c r="N2415" t="inlineStr">
        <is>
          <t>ref</t>
        </is>
      </c>
      <c r="O2415" t="n">
        <v>100</v>
      </c>
      <c r="P2415" t="n">
        <v>0.00844</v>
      </c>
      <c r="Q2415" t="n">
        <v>-65</v>
      </c>
      <c r="R2415" t="n">
        <v>0.01172</v>
      </c>
      <c r="S2415">
        <f>IMAGE("https://mitra.stanford.edu/kundaje/oak/projects/neuro-variants/variant_position/credible/roussos_2024/variant_figures/roussos_2024.childhood.GLU/rs6074022_count_position.png",4,220,900)</f>
        <v/>
      </c>
      <c r="T2415">
        <f>IMAGE("https://mitra.stanford.edu/kundaje/oak/projects/neuro-variants/variant_position/credible/roussos_2024/variant_figures/roussos_2024.childhood.GLU/rs6074022_profile_position.png",4,220,900)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0.0548261066</v>
      </c>
      <c r="G2416" t="n">
        <v>0.1477054992336831</v>
      </c>
      <c r="H2416" t="n">
        <v>0.0111840508112902</v>
      </c>
      <c r="I2416" t="n">
        <v>0.5223734642403254</v>
      </c>
      <c r="J2416" t="n">
        <v>0.385642906446063</v>
      </c>
      <c r="K2416" t="n">
        <v>0.0683630713886571</v>
      </c>
      <c r="L2416" t="b">
        <v>0</v>
      </c>
      <c r="M2416" t="b">
        <v>0</v>
      </c>
      <c r="N2416" t="inlineStr">
        <is>
          <t>alt</t>
        </is>
      </c>
      <c r="O2416" t="n">
        <v>-100</v>
      </c>
      <c r="P2416" t="n">
        <v>0.005753</v>
      </c>
      <c r="Q2416" t="n">
        <v>-50</v>
      </c>
      <c r="R2416" t="n">
        <v>0.1533</v>
      </c>
      <c r="S2416">
        <f>IMAGE("https://mitra.stanford.edu/kundaje/oak/projects/neuro-variants/variant_position/credible/roussos_2024/variant_figures/roussos_2024.childhood.GLU/rs4810485_count_position.png",4,220,900)</f>
        <v/>
      </c>
      <c r="T2416">
        <f>IMAGE("https://mitra.stanford.edu/kundaje/oak/projects/neuro-variants/variant_position/credible/roussos_2024/variant_figures/roussos_2024.childhood.GLU/rs4810485_profile_position.png",4,220,900)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0.0033950116799999</v>
      </c>
      <c r="G2417" t="n">
        <v>0.7686514325966668</v>
      </c>
      <c r="H2417" t="n">
        <v>0.0224748580819222</v>
      </c>
      <c r="I2417" t="n">
        <v>0.0644736305643854</v>
      </c>
      <c r="J2417" t="n">
        <v>0.8018719029124213</v>
      </c>
      <c r="K2417" t="n">
        <v>0.0071093556063268</v>
      </c>
      <c r="L2417" t="b">
        <v>0</v>
      </c>
      <c r="M2417" t="b">
        <v>0</v>
      </c>
      <c r="N2417" t="inlineStr">
        <is>
          <t>alt</t>
        </is>
      </c>
      <c r="O2417" t="n">
        <v>10</v>
      </c>
      <c r="P2417" t="n">
        <v>0.0001526</v>
      </c>
      <c r="Q2417" t="n">
        <v>-100</v>
      </c>
      <c r="R2417" t="n">
        <v>0.07263</v>
      </c>
      <c r="S2417">
        <f>IMAGE("https://mitra.stanford.edu/kundaje/oak/projects/neuro-variants/variant_position/credible/roussos_2024/variant_figures/roussos_2024.childhood.GLU/rs74361372_count_position.png",4,220,900)</f>
        <v/>
      </c>
      <c r="T2417">
        <f>IMAGE("https://mitra.stanford.edu/kundaje/oak/projects/neuro-variants/variant_position/credible/roussos_2024/variant_figures/roussos_2024.childhood.GLU/rs74361372_profile_position.png",4,220,900)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-0.20859671</v>
      </c>
      <c r="G2418" t="n">
        <v>0.0067731707302256</v>
      </c>
      <c r="H2418" t="n">
        <v>0.028357631247155</v>
      </c>
      <c r="I2418" t="n">
        <v>0.0273838526499993</v>
      </c>
      <c r="J2418" t="n">
        <v>0.0356856604201221</v>
      </c>
      <c r="K2418" t="n">
        <v>0.4074928167612308</v>
      </c>
      <c r="L2418" t="b">
        <v>1</v>
      </c>
      <c r="M2418" t="b">
        <v>1</v>
      </c>
      <c r="N2418" t="inlineStr">
        <is>
          <t>ref</t>
        </is>
      </c>
      <c r="O2418" t="n">
        <v>-100</v>
      </c>
      <c r="P2418" t="n">
        <v>0.005905</v>
      </c>
      <c r="Q2418" t="n">
        <v>100</v>
      </c>
      <c r="R2418" t="n">
        <v>0.02118</v>
      </c>
      <c r="S2418">
        <f>IMAGE("https://mitra.stanford.edu/kundaje/oak/projects/neuro-variants/variant_position/credible/roussos_2024/variant_figures/roussos_2024.childhood.GLU/rs6012677_count_position.png",4,220,900)</f>
        <v/>
      </c>
      <c r="T2418">
        <f>IMAGE("https://mitra.stanford.edu/kundaje/oak/projects/neuro-variants/variant_position/credible/roussos_2024/variant_figures/roussos_2024.childhood.GLU/rs6012677_profile_position.png",4,220,900)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0.123763001</v>
      </c>
      <c r="G2419" t="n">
        <v>0.0270527917929164</v>
      </c>
      <c r="H2419" t="n">
        <v>0.0183864176798016</v>
      </c>
      <c r="I2419" t="n">
        <v>0.1330722262660558</v>
      </c>
      <c r="J2419" t="n">
        <v>0.11314246860416</v>
      </c>
      <c r="K2419" t="n">
        <v>0.2335136807914779</v>
      </c>
      <c r="L2419" t="b">
        <v>0</v>
      </c>
      <c r="M2419" t="b">
        <v>0</v>
      </c>
      <c r="N2419" t="inlineStr">
        <is>
          <t>alt</t>
        </is>
      </c>
      <c r="O2419" t="n">
        <v>-20</v>
      </c>
      <c r="P2419" t="n">
        <v>0.003983</v>
      </c>
      <c r="Q2419" t="n">
        <v>-10</v>
      </c>
      <c r="R2419" t="n">
        <v>0.05615</v>
      </c>
      <c r="S2419">
        <f>IMAGE("https://mitra.stanford.edu/kundaje/oak/projects/neuro-variants/variant_position/credible/roussos_2024/variant_figures/roussos_2024.childhood.GLU/rs11696755_count_position.png",4,220,900)</f>
        <v/>
      </c>
      <c r="T2419">
        <f>IMAGE("https://mitra.stanford.edu/kundaje/oak/projects/neuro-variants/variant_position/credible/roussos_2024/variant_figures/roussos_2024.childhood.GLU/rs11696755_profile_position.png",4,220,900)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-0.0537401563999999</v>
      </c>
      <c r="G2420" t="n">
        <v>0.1579100319442314</v>
      </c>
      <c r="H2420" t="n">
        <v>0.0161164294079469</v>
      </c>
      <c r="I2420" t="n">
        <v>0.2163218647643654</v>
      </c>
      <c r="J2420" t="n">
        <v>0.015686072506619</v>
      </c>
      <c r="K2420" t="n">
        <v>0.5273813336077559</v>
      </c>
      <c r="L2420" t="b">
        <v>0</v>
      </c>
      <c r="M2420" t="b">
        <v>0</v>
      </c>
      <c r="N2420" t="inlineStr">
        <is>
          <t>ref</t>
        </is>
      </c>
      <c r="O2420" t="n">
        <v>60</v>
      </c>
      <c r="P2420" t="n">
        <v>0.004456</v>
      </c>
      <c r="Q2420" t="n">
        <v>20</v>
      </c>
      <c r="R2420" t="n">
        <v>0.012634</v>
      </c>
      <c r="S2420">
        <f>IMAGE("https://mitra.stanford.edu/kundaje/oak/projects/neuro-variants/variant_position/credible/roussos_2024/variant_figures/roussos_2024.childhood.GLU/rs6095541_count_position.png",4,220,900)</f>
        <v/>
      </c>
      <c r="T2420">
        <f>IMAGE("https://mitra.stanford.edu/kundaje/oak/projects/neuro-variants/variant_position/credible/roussos_2024/variant_figures/roussos_2024.childhood.GLU/rs6095541_profile_position.png",4,220,900)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-0.004742860428</v>
      </c>
      <c r="G2421" t="n">
        <v>0.8341621105515168</v>
      </c>
      <c r="H2421" t="n">
        <v>0.0342873721559261</v>
      </c>
      <c r="I2421" t="n">
        <v>0.0121564308637009</v>
      </c>
      <c r="J2421" t="n">
        <v>0.1282062905003759</v>
      </c>
      <c r="K2421" t="n">
        <v>0.2111700559473458</v>
      </c>
      <c r="L2421" t="b">
        <v>1</v>
      </c>
      <c r="M2421" t="b">
        <v>0</v>
      </c>
      <c r="N2421" t="inlineStr">
        <is>
          <t>ref</t>
        </is>
      </c>
      <c r="O2421" t="n">
        <v>-65</v>
      </c>
      <c r="P2421" t="n">
        <v>0.01701</v>
      </c>
      <c r="Q2421" t="n">
        <v>-10</v>
      </c>
      <c r="R2421" t="n">
        <v>0.010445</v>
      </c>
      <c r="S2421">
        <f>IMAGE("https://mitra.stanford.edu/kundaje/oak/projects/neuro-variants/variant_position/credible/roussos_2024/variant_figures/roussos_2024.childhood.GLU/rs5596_count_position.png",4,220,900)</f>
        <v/>
      </c>
      <c r="T2421">
        <f>IMAGE("https://mitra.stanford.edu/kundaje/oak/projects/neuro-variants/variant_position/credible/roussos_2024/variant_figures/roussos_2024.childhood.GLU/rs5596_profile_position.png",4,220,900)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0.0401484899999999</v>
      </c>
      <c r="G2422" t="n">
        <v>0.2418599828084548</v>
      </c>
      <c r="H2422" t="n">
        <v>0.0160625599348479</v>
      </c>
      <c r="I2422" t="n">
        <v>0.2074334179012784</v>
      </c>
      <c r="J2422" t="n">
        <v>0.1331224824090576</v>
      </c>
      <c r="K2422" t="n">
        <v>0.2059696531794572</v>
      </c>
      <c r="L2422" t="b">
        <v>0</v>
      </c>
      <c r="M2422" t="b">
        <v>0</v>
      </c>
      <c r="N2422" t="inlineStr">
        <is>
          <t>alt</t>
        </is>
      </c>
      <c r="O2422" t="n">
        <v>95</v>
      </c>
      <c r="P2422" t="n">
        <v>0.0594</v>
      </c>
      <c r="Q2422" t="n">
        <v>100</v>
      </c>
      <c r="R2422" t="n">
        <v>0.2295</v>
      </c>
      <c r="S2422">
        <f>IMAGE("https://mitra.stanford.edu/kundaje/oak/projects/neuro-variants/variant_position/credible/roussos_2024/variant_figures/roussos_2024.childhood.GLU/rs729824_count_position.png",4,220,900)</f>
        <v/>
      </c>
      <c r="T2422">
        <f>IMAGE("https://mitra.stanford.edu/kundaje/oak/projects/neuro-variants/variant_position/credible/roussos_2024/variant_figures/roussos_2024.childhood.GLU/rs729824_profile_position.png",4,220,900)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-0.00089096052</v>
      </c>
      <c r="G2423" t="n">
        <v>0.4287856267035813</v>
      </c>
      <c r="H2423" t="n">
        <v>0.0156033099049475</v>
      </c>
      <c r="I2423" t="n">
        <v>0.2232060886488056</v>
      </c>
      <c r="J2423" t="n">
        <v>0.4933901325888303</v>
      </c>
      <c r="K2423" t="n">
        <v>0.0433148462128633</v>
      </c>
      <c r="L2423" t="b">
        <v>0</v>
      </c>
      <c r="M2423" t="b">
        <v>0</v>
      </c>
      <c r="N2423" t="inlineStr">
        <is>
          <t>ref</t>
        </is>
      </c>
      <c r="O2423" t="n">
        <v>-75</v>
      </c>
      <c r="P2423" t="n">
        <v>0.001953</v>
      </c>
      <c r="Q2423" t="n">
        <v>20</v>
      </c>
      <c r="R2423" t="n">
        <v>0.02197</v>
      </c>
      <c r="S2423">
        <f>IMAGE("https://mitra.stanford.edu/kundaje/oak/projects/neuro-variants/variant_position/credible/roussos_2024/variant_figures/roussos_2024.childhood.GLU/rs495146_count_position.png",4,220,900)</f>
        <v/>
      </c>
      <c r="T2423">
        <f>IMAGE("https://mitra.stanford.edu/kundaje/oak/projects/neuro-variants/variant_position/credible/roussos_2024/variant_figures/roussos_2024.childhood.GLU/rs495146_profile_position.png",4,220,900)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-0.02746180032</v>
      </c>
      <c r="G2424" t="n">
        <v>0.3640997478614257</v>
      </c>
      <c r="H2424" t="n">
        <v>0.011579485244634</v>
      </c>
      <c r="I2424" t="n">
        <v>0.491046103048488</v>
      </c>
      <c r="J2424" t="n">
        <v>0.2426478617861889</v>
      </c>
      <c r="K2424" t="n">
        <v>0.1238744922767774</v>
      </c>
      <c r="L2424" t="b">
        <v>0</v>
      </c>
      <c r="M2424" t="b">
        <v>0</v>
      </c>
      <c r="N2424" t="inlineStr">
        <is>
          <t>ref</t>
        </is>
      </c>
      <c r="O2424" t="n">
        <v>-100</v>
      </c>
      <c r="P2424" t="n">
        <v>0.00757</v>
      </c>
      <c r="Q2424" t="n">
        <v>100</v>
      </c>
      <c r="R2424" t="n">
        <v>0.2507</v>
      </c>
      <c r="S2424">
        <f>IMAGE("https://mitra.stanford.edu/kundaje/oak/projects/neuro-variants/variant_position/credible/roussos_2024/variant_figures/roussos_2024.childhood.GLU/rs6012680_count_position.png",4,220,900)</f>
        <v/>
      </c>
      <c r="T2424">
        <f>IMAGE("https://mitra.stanford.edu/kundaje/oak/projects/neuro-variants/variant_position/credible/roussos_2024/variant_figures/roussos_2024.childhood.GLU/rs6012680_profile_position.png",4,220,900)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-0.1040171372</v>
      </c>
      <c r="G2425" t="n">
        <v>0.0575469357374492</v>
      </c>
      <c r="H2425" t="n">
        <v>0.0165730496187644</v>
      </c>
      <c r="I2425" t="n">
        <v>0.1861951901401524</v>
      </c>
      <c r="J2425" t="n">
        <v>0.0057939361471972</v>
      </c>
      <c r="K2425" t="n">
        <v>0.6784215486422125</v>
      </c>
      <c r="L2425" t="b">
        <v>0</v>
      </c>
      <c r="M2425" t="b">
        <v>0</v>
      </c>
      <c r="N2425" t="inlineStr">
        <is>
          <t>ref</t>
        </is>
      </c>
      <c r="O2425" t="n">
        <v>-20</v>
      </c>
      <c r="P2425" t="n">
        <v>0.002197</v>
      </c>
      <c r="Q2425" t="n">
        <v>-100</v>
      </c>
      <c r="R2425" t="n">
        <v>0.2079</v>
      </c>
      <c r="S2425">
        <f>IMAGE("https://mitra.stanford.edu/kundaje/oak/projects/neuro-variants/variant_position/credible/roussos_2024/variant_figures/roussos_2024.childhood.GLU/rs1810404_count_position.png",4,220,900)</f>
        <v/>
      </c>
      <c r="T2425">
        <f>IMAGE("https://mitra.stanford.edu/kundaje/oak/projects/neuro-variants/variant_position/credible/roussos_2024/variant_figures/roussos_2024.childhood.GLU/rs1810404_profile_position.png",4,220,900)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-0.0429589314</v>
      </c>
      <c r="G2426" t="n">
        <v>0.2247931225064874</v>
      </c>
      <c r="H2426" t="n">
        <v>0.0103230666416483</v>
      </c>
      <c r="I2426" t="n">
        <v>0.6252038240537408</v>
      </c>
      <c r="J2426" t="n">
        <v>0.0258532766027588</v>
      </c>
      <c r="K2426" t="n">
        <v>0.4522568895652642</v>
      </c>
      <c r="L2426" t="b">
        <v>0</v>
      </c>
      <c r="M2426" t="b">
        <v>0</v>
      </c>
      <c r="N2426" t="inlineStr">
        <is>
          <t>ref</t>
        </is>
      </c>
      <c r="O2426" t="n">
        <v>95</v>
      </c>
      <c r="P2426" t="n">
        <v>0.03485</v>
      </c>
      <c r="Q2426" t="n">
        <v>95</v>
      </c>
      <c r="R2426" t="n">
        <v>0.1844</v>
      </c>
      <c r="S2426">
        <f>IMAGE("https://mitra.stanford.edu/kundaje/oak/projects/neuro-variants/variant_position/credible/roussos_2024/variant_figures/roussos_2024.childhood.GLU/rs34570637_count_position.png",4,220,900)</f>
        <v/>
      </c>
      <c r="T2426">
        <f>IMAGE("https://mitra.stanford.edu/kundaje/oak/projects/neuro-variants/variant_position/credible/roussos_2024/variant_figures/roussos_2024.childhood.GLU/rs34570637_profile_position.png",4,220,900)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0.0020556546279999</v>
      </c>
      <c r="G2427" t="n">
        <v>0.8687182027933251</v>
      </c>
      <c r="H2427" t="n">
        <v>0.0139022629380068</v>
      </c>
      <c r="I2427" t="n">
        <v>0.3097741341078471</v>
      </c>
      <c r="J2427" t="n">
        <v>0.166321200820052</v>
      </c>
      <c r="K2427" t="n">
        <v>0.1737029487205013</v>
      </c>
      <c r="L2427" t="b">
        <v>0</v>
      </c>
      <c r="M2427" t="b">
        <v>0</v>
      </c>
      <c r="N2427" t="inlineStr">
        <is>
          <t>alt</t>
        </is>
      </c>
      <c r="O2427" t="n">
        <v>100</v>
      </c>
      <c r="P2427" t="n">
        <v>0.006317</v>
      </c>
      <c r="Q2427" t="n">
        <v>100</v>
      </c>
      <c r="R2427" t="n">
        <v>0.137</v>
      </c>
      <c r="S2427">
        <f>IMAGE("https://mitra.stanford.edu/kundaje/oak/projects/neuro-variants/variant_position/credible/roussos_2024/variant_figures/roussos_2024.childhood.GLU/rs73172392_count_position.png",4,220,900)</f>
        <v/>
      </c>
      <c r="T2427">
        <f>IMAGE("https://mitra.stanford.edu/kundaje/oak/projects/neuro-variants/variant_position/credible/roussos_2024/variant_figures/roussos_2024.childhood.GLU/rs73172392_profile_position.png",4,220,900)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0.00697457368</v>
      </c>
      <c r="G2428" t="n">
        <v>0.7245458145090233</v>
      </c>
      <c r="H2428" t="n">
        <v>0.0201266545864988</v>
      </c>
      <c r="I2428" t="n">
        <v>0.0968729339203335</v>
      </c>
      <c r="J2428" t="n">
        <v>0.0177568071538215</v>
      </c>
      <c r="K2428" t="n">
        <v>0.5226486008354825</v>
      </c>
      <c r="L2428" t="b">
        <v>0</v>
      </c>
      <c r="M2428" t="b">
        <v>0</v>
      </c>
      <c r="N2428" t="inlineStr">
        <is>
          <t>alt</t>
        </is>
      </c>
      <c r="O2428" t="n">
        <v>-100</v>
      </c>
      <c r="P2428" t="n">
        <v>0.01039</v>
      </c>
      <c r="Q2428" t="n">
        <v>90</v>
      </c>
      <c r="R2428" t="n">
        <v>0.10223</v>
      </c>
      <c r="S2428">
        <f>IMAGE("https://mitra.stanford.edu/kundaje/oak/projects/neuro-variants/variant_position/credible/roussos_2024/variant_figures/roussos_2024.childhood.GLU/rs2826495_count_position.png",4,220,900)</f>
        <v/>
      </c>
      <c r="T2428">
        <f>IMAGE("https://mitra.stanford.edu/kundaje/oak/projects/neuro-variants/variant_position/credible/roussos_2024/variant_figures/roussos_2024.childhood.GLU/rs2826495_profile_position.png",4,220,900)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-0.0245603228</v>
      </c>
      <c r="G2429" t="n">
        <v>0.4142899066422743</v>
      </c>
      <c r="H2429" t="n">
        <v>0.0329558915681644</v>
      </c>
      <c r="I2429" t="n">
        <v>0.014520887406029</v>
      </c>
      <c r="J2429" t="n">
        <v>0.2181132619736882</v>
      </c>
      <c r="K2429" t="n">
        <v>0.1356366347287392</v>
      </c>
      <c r="L2429" t="b">
        <v>1</v>
      </c>
      <c r="M2429" t="b">
        <v>0</v>
      </c>
      <c r="N2429" t="inlineStr">
        <is>
          <t>ref</t>
        </is>
      </c>
      <c r="O2429" t="n">
        <v>-95</v>
      </c>
      <c r="P2429" t="n">
        <v>0.00891</v>
      </c>
      <c r="Q2429" t="n">
        <v>-30</v>
      </c>
      <c r="R2429" t="n">
        <v>0.04785</v>
      </c>
      <c r="S2429">
        <f>IMAGE("https://mitra.stanford.edu/kundaje/oak/projects/neuro-variants/variant_position/credible/roussos_2024/variant_figures/roussos_2024.childhood.GLU/rs3746862_count_position.png",4,220,900)</f>
        <v/>
      </c>
      <c r="T2429">
        <f>IMAGE("https://mitra.stanford.edu/kundaje/oak/projects/neuro-variants/variant_position/credible/roussos_2024/variant_figures/roussos_2024.childhood.GLU/rs3746862_profile_position.png",4,220,900)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-0.0386752588</v>
      </c>
      <c r="G2430" t="n">
        <v>0.2648220229556182</v>
      </c>
      <c r="H2430" t="n">
        <v>0.0116071395883884</v>
      </c>
      <c r="I2430" t="n">
        <v>0.4964344471536135</v>
      </c>
      <c r="J2430" t="n">
        <v>0.3887345853894732</v>
      </c>
      <c r="K2430" t="n">
        <v>0.0676917763049372</v>
      </c>
      <c r="L2430" t="b">
        <v>0</v>
      </c>
      <c r="M2430" t="b">
        <v>0</v>
      </c>
      <c r="N2430" t="inlineStr">
        <is>
          <t>ref</t>
        </is>
      </c>
      <c r="O2430" t="n">
        <v>100</v>
      </c>
      <c r="P2430" t="n">
        <v>0.01143</v>
      </c>
      <c r="Q2430" t="n">
        <v>100</v>
      </c>
      <c r="R2430" t="n">
        <v>0.1914</v>
      </c>
      <c r="S2430">
        <f>IMAGE("https://mitra.stanford.edu/kundaje/oak/projects/neuro-variants/variant_position/credible/roussos_2024/variant_figures/roussos_2024.childhood.GLU/rs4819527_count_position.png",4,220,900)</f>
        <v/>
      </c>
      <c r="T2430">
        <f>IMAGE("https://mitra.stanford.edu/kundaje/oak/projects/neuro-variants/variant_position/credible/roussos_2024/variant_figures/roussos_2024.childhood.GLU/rs4819527_profile_position.png",4,220,900)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-0.101183371</v>
      </c>
      <c r="G2431" t="n">
        <v>0.044670690049127</v>
      </c>
      <c r="H2431" t="n">
        <v>0.0207593509502915</v>
      </c>
      <c r="I2431" t="n">
        <v>0.09068745207632289</v>
      </c>
      <c r="J2431" t="n">
        <v>0.960884749708964</v>
      </c>
      <c r="K2431" t="n">
        <v>0.0002160031137558</v>
      </c>
      <c r="L2431" t="b">
        <v>0</v>
      </c>
      <c r="M2431" t="b">
        <v>0</v>
      </c>
      <c r="N2431" t="inlineStr">
        <is>
          <t>ref</t>
        </is>
      </c>
      <c r="O2431" t="n">
        <v>100</v>
      </c>
      <c r="P2431" t="n">
        <v>0.01152</v>
      </c>
      <c r="Q2431" t="n">
        <v>-15</v>
      </c>
      <c r="R2431" t="n">
        <v>0.01819</v>
      </c>
      <c r="S2431">
        <f>IMAGE("https://mitra.stanford.edu/kundaje/oak/projects/neuro-variants/variant_position/credible/roussos_2024/variant_figures/roussos_2024.childhood.GLU/rs61174903_count_position.png",4,220,900)</f>
        <v/>
      </c>
      <c r="T2431">
        <f>IMAGE("https://mitra.stanford.edu/kundaje/oak/projects/neuro-variants/variant_position/credible/roussos_2024/variant_figures/roussos_2024.childhood.GLU/rs61174903_profile_position.png",4,220,900)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-0.0436561906</v>
      </c>
      <c r="G2432" t="n">
        <v>0.2191489997452669</v>
      </c>
      <c r="H2432" t="n">
        <v>0.0108575145080757</v>
      </c>
      <c r="I2432" t="n">
        <v>0.556662359416871</v>
      </c>
      <c r="J2432" t="n">
        <v>0.3209978674523782</v>
      </c>
      <c r="K2432" t="n">
        <v>0.0893948938380012</v>
      </c>
      <c r="L2432" t="b">
        <v>0</v>
      </c>
      <c r="M2432" t="b">
        <v>0</v>
      </c>
      <c r="N2432" t="inlineStr">
        <is>
          <t>ref</t>
        </is>
      </c>
      <c r="O2432" t="n">
        <v>100</v>
      </c>
      <c r="P2432" t="n">
        <v>0.05276</v>
      </c>
      <c r="Q2432" t="n">
        <v>100</v>
      </c>
      <c r="R2432" t="n">
        <v>0.1665</v>
      </c>
      <c r="S2432">
        <f>IMAGE("https://mitra.stanford.edu/kundaje/oak/projects/neuro-variants/variant_position/credible/roussos_2024/variant_figures/roussos_2024.childhood.GLU/rs138647105_count_position.png",4,220,900)</f>
        <v/>
      </c>
      <c r="T2432">
        <f>IMAGE("https://mitra.stanford.edu/kundaje/oak/projects/neuro-variants/variant_position/credible/roussos_2024/variant_figures/roussos_2024.childhood.GLU/rs138647105_profile_position.png",4,220,900)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-0.0124888123399999</v>
      </c>
      <c r="G2433" t="n">
        <v>0.6157318976050891</v>
      </c>
      <c r="H2433" t="n">
        <v>0.016366279548274</v>
      </c>
      <c r="I2433" t="n">
        <v>0.1919299751259688</v>
      </c>
      <c r="J2433" t="n">
        <v>0.4026847435276665</v>
      </c>
      <c r="K2433" t="n">
        <v>0.0639562519256377</v>
      </c>
      <c r="L2433" t="b">
        <v>0</v>
      </c>
      <c r="M2433" t="b">
        <v>0</v>
      </c>
      <c r="N2433" t="inlineStr">
        <is>
          <t>ref</t>
        </is>
      </c>
      <c r="O2433" t="n">
        <v>35</v>
      </c>
      <c r="P2433" t="n">
        <v>0.0007877</v>
      </c>
      <c r="Q2433" t="n">
        <v>100</v>
      </c>
      <c r="R2433" t="n">
        <v>0.1562</v>
      </c>
      <c r="S2433">
        <f>IMAGE("https://mitra.stanford.edu/kundaje/oak/projects/neuro-variants/variant_position/credible/roussos_2024/variant_figures/roussos_2024.childhood.GLU/rs7349039_count_position.png",4,220,900)</f>
        <v/>
      </c>
      <c r="T2433">
        <f>IMAGE("https://mitra.stanford.edu/kundaje/oak/projects/neuro-variants/variant_position/credible/roussos_2024/variant_figures/roussos_2024.childhood.GLU/rs7349039_profile_position.png",4,220,900)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0.050385392</v>
      </c>
      <c r="G2434" t="n">
        <v>0.1715611113016453</v>
      </c>
      <c r="H2434" t="n">
        <v>0.0099375591345534</v>
      </c>
      <c r="I2434" t="n">
        <v>0.6741807248934293</v>
      </c>
      <c r="J2434" t="n">
        <v>0.1135092255864505</v>
      </c>
      <c r="K2434" t="n">
        <v>0.2295015191311674</v>
      </c>
      <c r="L2434" t="b">
        <v>0</v>
      </c>
      <c r="M2434" t="b">
        <v>0</v>
      </c>
      <c r="N2434" t="inlineStr">
        <is>
          <t>alt</t>
        </is>
      </c>
      <c r="O2434" t="n">
        <v>85</v>
      </c>
      <c r="P2434" t="n">
        <v>0.0227</v>
      </c>
      <c r="Q2434" t="n">
        <v>90</v>
      </c>
      <c r="R2434" t="n">
        <v>0.07820000000000001</v>
      </c>
      <c r="S2434">
        <f>IMAGE("https://mitra.stanford.edu/kundaje/oak/projects/neuro-variants/variant_position/credible/roussos_2024/variant_figures/roussos_2024.childhood.GLU/rs75974641_count_position.png",4,220,900)</f>
        <v/>
      </c>
      <c r="T2434">
        <f>IMAGE("https://mitra.stanford.edu/kundaje/oak/projects/neuro-variants/variant_position/credible/roussos_2024/variant_figures/roussos_2024.childhood.GLU/rs75974641_profile_position.png",4,220,900)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-0.347669506</v>
      </c>
      <c r="G2435" t="n">
        <v>0.0012248032048767</v>
      </c>
      <c r="H2435" t="n">
        <v>0.0292578107285819</v>
      </c>
      <c r="I2435" t="n">
        <v>0.0232674769495251</v>
      </c>
      <c r="J2435" t="n">
        <v>0.3831065140573006</v>
      </c>
      <c r="K2435" t="n">
        <v>0.06924199002096031</v>
      </c>
      <c r="L2435" t="b">
        <v>1</v>
      </c>
      <c r="M2435" t="b">
        <v>1</v>
      </c>
      <c r="N2435" t="inlineStr">
        <is>
          <t>ref</t>
        </is>
      </c>
      <c r="O2435" t="n">
        <v>100</v>
      </c>
      <c r="P2435" t="n">
        <v>0.001972</v>
      </c>
      <c r="Q2435" t="n">
        <v>-75</v>
      </c>
      <c r="R2435" t="n">
        <v>0.04956</v>
      </c>
      <c r="S2435">
        <f>IMAGE("https://mitra.stanford.edu/kundaje/oak/projects/neuro-variants/variant_position/credible/roussos_2024/variant_figures/roussos_2024.childhood.GLU/rs8136346_count_position.png",4,220,900)</f>
        <v/>
      </c>
      <c r="T2435">
        <f>IMAGE("https://mitra.stanford.edu/kundaje/oak/projects/neuro-variants/variant_position/credible/roussos_2024/variant_figures/roussos_2024.childhood.GLU/rs8136346_profile_position.png",4,220,900)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0.0995141393999999</v>
      </c>
      <c r="G2436" t="n">
        <v>0.0594157182802058</v>
      </c>
      <c r="H2436" t="n">
        <v>0.0203029814031628</v>
      </c>
      <c r="I2436" t="n">
        <v>0.0969997437634455</v>
      </c>
      <c r="J2436" t="n">
        <v>0.4611495152832579</v>
      </c>
      <c r="K2436" t="n">
        <v>0.0501804643063636</v>
      </c>
      <c r="L2436" t="b">
        <v>0</v>
      </c>
      <c r="M2436" t="b">
        <v>0</v>
      </c>
      <c r="N2436" t="inlineStr">
        <is>
          <t>alt</t>
        </is>
      </c>
      <c r="O2436" t="n">
        <v>65</v>
      </c>
      <c r="P2436" t="n">
        <v>0.003204</v>
      </c>
      <c r="Q2436" t="n">
        <v>100</v>
      </c>
      <c r="R2436" t="n">
        <v>0.1396</v>
      </c>
      <c r="S2436">
        <f>IMAGE("https://mitra.stanford.edu/kundaje/oak/projects/neuro-variants/variant_position/credible/roussos_2024/variant_figures/roussos_2024.childhood.GLU/rs6001259_count_position.png",4,220,900)</f>
        <v/>
      </c>
      <c r="T2436">
        <f>IMAGE("https://mitra.stanford.edu/kundaje/oak/projects/neuro-variants/variant_position/credible/roussos_2024/variant_figures/roussos_2024.childhood.GLU/rs6001259_profile_position.png",4,220,900)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-0.0778897092</v>
      </c>
      <c r="G2437" t="n">
        <v>0.0766412921084737</v>
      </c>
      <c r="H2437" t="n">
        <v>0.0163201628290155</v>
      </c>
      <c r="I2437" t="n">
        <v>0.1925638967324553</v>
      </c>
      <c r="J2437" t="n">
        <v>0.5602243810975923</v>
      </c>
      <c r="K2437" t="n">
        <v>0.0324550047453249</v>
      </c>
      <c r="L2437" t="b">
        <v>0</v>
      </c>
      <c r="M2437" t="b">
        <v>0</v>
      </c>
      <c r="N2437" t="inlineStr">
        <is>
          <t>ref</t>
        </is>
      </c>
      <c r="O2437" t="n">
        <v>100</v>
      </c>
      <c r="P2437" t="n">
        <v>0.02634</v>
      </c>
      <c r="Q2437" t="n">
        <v>-80</v>
      </c>
      <c r="R2437" t="n">
        <v>0.07153</v>
      </c>
      <c r="S2437">
        <f>IMAGE("https://mitra.stanford.edu/kundaje/oak/projects/neuro-variants/variant_position/credible/roussos_2024/variant_figures/roussos_2024.childhood.GLU/rs1053197_count_position.png",4,220,900)</f>
        <v/>
      </c>
      <c r="T2437">
        <f>IMAGE("https://mitra.stanford.edu/kundaje/oak/projects/neuro-variants/variant_position/credible/roussos_2024/variant_figures/roussos_2024.childhood.GLU/rs1053197_profile_position.png",4,220,900)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-0.02280333374</v>
      </c>
      <c r="G2438" t="n">
        <v>0.3545954062553675</v>
      </c>
      <c r="H2438" t="n">
        <v>0.0168486056203333</v>
      </c>
      <c r="I2438" t="n">
        <v>0.1759010256722984</v>
      </c>
      <c r="J2438" t="n">
        <v>0.1890364387484932</v>
      </c>
      <c r="K2438" t="n">
        <v>0.1551636369391123</v>
      </c>
      <c r="L2438" t="b">
        <v>0</v>
      </c>
      <c r="M2438" t="b">
        <v>0</v>
      </c>
      <c r="N2438" t="inlineStr">
        <is>
          <t>ref</t>
        </is>
      </c>
      <c r="O2438" t="n">
        <v>-85</v>
      </c>
      <c r="P2438" t="n">
        <v>0.00701</v>
      </c>
      <c r="Q2438" t="n">
        <v>-45</v>
      </c>
      <c r="R2438" t="n">
        <v>0.08203000000000001</v>
      </c>
      <c r="S2438">
        <f>IMAGE("https://mitra.stanford.edu/kundaje/oak/projects/neuro-variants/variant_position/credible/roussos_2024/variant_figures/roussos_2024.childhood.GLU/rs5750857_count_position.png",4,220,900)</f>
        <v/>
      </c>
      <c r="T2438">
        <f>IMAGE("https://mitra.stanford.edu/kundaje/oak/projects/neuro-variants/variant_position/credible/roussos_2024/variant_figures/roussos_2024.childhood.GLU/rs5750857_profile_position.png",4,220,900)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0.0438805929999999</v>
      </c>
      <c r="G2439" t="n">
        <v>0.2105710811518056</v>
      </c>
      <c r="H2439" t="n">
        <v>0.0110827674226826</v>
      </c>
      <c r="I2439" t="n">
        <v>0.5466829308160556</v>
      </c>
      <c r="J2439" t="n">
        <v>0.6837442179113395</v>
      </c>
      <c r="K2439" t="n">
        <v>0.0166030631409432</v>
      </c>
      <c r="L2439" t="b">
        <v>0</v>
      </c>
      <c r="M2439" t="b">
        <v>0</v>
      </c>
      <c r="N2439" t="inlineStr">
        <is>
          <t>alt</t>
        </is>
      </c>
      <c r="O2439" t="n">
        <v>100</v>
      </c>
      <c r="P2439" t="n">
        <v>0.0292</v>
      </c>
      <c r="Q2439" t="n">
        <v>30</v>
      </c>
      <c r="R2439" t="n">
        <v>0.2197</v>
      </c>
      <c r="S2439">
        <f>IMAGE("https://mitra.stanford.edu/kundaje/oak/projects/neuro-variants/variant_position/credible/roussos_2024/variant_figures/roussos_2024.childhood.GLU/rs136828_count_position.png",4,220,900)</f>
        <v/>
      </c>
      <c r="T2439">
        <f>IMAGE("https://mitra.stanford.edu/kundaje/oak/projects/neuro-variants/variant_position/credible/roussos_2024/variant_figures/roussos_2024.childhood.GLU/rs136828_profile_position.png",4,220,900)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-0.0207346761999999</v>
      </c>
      <c r="G2440" t="n">
        <v>0.461001219028324</v>
      </c>
      <c r="H2440" t="n">
        <v>0.041879214286609</v>
      </c>
      <c r="I2440" t="n">
        <v>0.0055310161288937</v>
      </c>
      <c r="J2440" t="n">
        <v>0.017779471911154</v>
      </c>
      <c r="K2440" t="n">
        <v>0.5119497685187187</v>
      </c>
      <c r="L2440" t="b">
        <v>1</v>
      </c>
      <c r="M2440" t="b">
        <v>0</v>
      </c>
      <c r="N2440" t="inlineStr">
        <is>
          <t>ref</t>
        </is>
      </c>
      <c r="O2440" t="n">
        <v>60</v>
      </c>
      <c r="P2440" t="n">
        <v>0.01196</v>
      </c>
      <c r="Q2440" t="n">
        <v>20</v>
      </c>
      <c r="R2440" t="n">
        <v>0.0365</v>
      </c>
      <c r="S2440">
        <f>IMAGE("https://mitra.stanford.edu/kundaje/oak/projects/neuro-variants/variant_position/credible/roussos_2024/variant_figures/roussos_2024.childhood.GLU/rs35060074_count_position.png",4,220,900)</f>
        <v/>
      </c>
      <c r="T2440">
        <f>IMAGE("https://mitra.stanford.edu/kundaje/oak/projects/neuro-variants/variant_position/credible/roussos_2024/variant_figures/roussos_2024.childhood.GLU/rs35060074_profile_position.png",4,220,900)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0.0837741011999999</v>
      </c>
      <c r="G2441" t="n">
        <v>0.07171965197208049</v>
      </c>
      <c r="H2441" t="n">
        <v>0.0164115075544653</v>
      </c>
      <c r="I2441" t="n">
        <v>0.1967739886238296</v>
      </c>
      <c r="J2441" t="n">
        <v>0.996845477865804</v>
      </c>
      <c r="K2441" t="n">
        <v>1.148697206299829e-06</v>
      </c>
      <c r="L2441" t="b">
        <v>0</v>
      </c>
      <c r="M2441" t="b">
        <v>0</v>
      </c>
      <c r="N2441" t="inlineStr">
        <is>
          <t>alt</t>
        </is>
      </c>
      <c r="O2441" t="n">
        <v>-90</v>
      </c>
      <c r="P2441" t="n">
        <v>0.009889999999999999</v>
      </c>
      <c r="Q2441" t="n">
        <v>-95</v>
      </c>
      <c r="R2441" t="n">
        <v>0.006348</v>
      </c>
      <c r="S2441">
        <f>IMAGE("https://mitra.stanford.edu/kundaje/oak/projects/neuro-variants/variant_position/credible/roussos_2024/variant_figures/roussos_2024.childhood.GLU/rs2234059_count_position.png",4,220,900)</f>
        <v/>
      </c>
      <c r="T2441">
        <f>IMAGE("https://mitra.stanford.edu/kundaje/oak/projects/neuro-variants/variant_position/credible/roussos_2024/variant_figures/roussos_2024.childhood.GLU/rs2234059_profile_position.png",4,220,900)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0.10752146</v>
      </c>
      <c r="G2442" t="n">
        <v>0.0361922339948387</v>
      </c>
      <c r="H2442" t="n">
        <v>0.0266042005898925</v>
      </c>
      <c r="I2442" t="n">
        <v>0.0341856405661366</v>
      </c>
      <c r="J2442" t="n">
        <v>0.1824842634468975</v>
      </c>
      <c r="K2442" t="n">
        <v>0.1604164535806291</v>
      </c>
      <c r="L2442" t="b">
        <v>0</v>
      </c>
      <c r="M2442" t="b">
        <v>0</v>
      </c>
      <c r="N2442" t="inlineStr">
        <is>
          <t>alt</t>
        </is>
      </c>
      <c r="O2442" t="n">
        <v>100</v>
      </c>
      <c r="P2442" t="n">
        <v>0.01917</v>
      </c>
      <c r="Q2442" t="n">
        <v>100</v>
      </c>
      <c r="R2442" t="n">
        <v>0.1357</v>
      </c>
      <c r="S2442">
        <f>IMAGE("https://mitra.stanford.edu/kundaje/oak/projects/neuro-variants/variant_position/credible/roussos_2024/variant_figures/roussos_2024.childhood.GLU/rs2273071_count_position.png",4,220,900)</f>
        <v/>
      </c>
      <c r="T2442">
        <f>IMAGE("https://mitra.stanford.edu/kundaje/oak/projects/neuro-variants/variant_position/credible/roussos_2024/variant_figures/roussos_2024.childhood.GLU/rs2273071_profile_position.png",4,220,900)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-0.009673385899999999</v>
      </c>
      <c r="G2443" t="n">
        <v>0.6889191643524372</v>
      </c>
      <c r="H2443" t="n">
        <v>0.0127684848279019</v>
      </c>
      <c r="I2443" t="n">
        <v>0.3922845075877674</v>
      </c>
      <c r="J2443" t="n">
        <v>0.433896174807092</v>
      </c>
      <c r="K2443" t="n">
        <v>0.056140462302537</v>
      </c>
      <c r="L2443" t="b">
        <v>0</v>
      </c>
      <c r="M2443" t="b">
        <v>0</v>
      </c>
      <c r="N2443" t="inlineStr">
        <is>
          <t>ref</t>
        </is>
      </c>
      <c r="O2443" t="n">
        <v>-55</v>
      </c>
      <c r="P2443" t="n">
        <v>0.003443</v>
      </c>
      <c r="Q2443" t="n">
        <v>0</v>
      </c>
      <c r="R2443" t="n">
        <v>0</v>
      </c>
      <c r="S2443">
        <f>IMAGE("https://mitra.stanford.edu/kundaje/oak/projects/neuro-variants/variant_position/credible/roussos_2024/variant_figures/roussos_2024.childhood.GLU/rs10154646_count_position.png",4,220,900)</f>
        <v/>
      </c>
      <c r="T2443">
        <f>IMAGE("https://mitra.stanford.edu/kundaje/oak/projects/neuro-variants/variant_position/credible/roussos_2024/variant_figures/roussos_2024.childhood.GLU/rs10154646_profile_position.png",4,220,900)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-0.047972269</v>
      </c>
      <c r="G2444" t="n">
        <v>0.1995720413541733</v>
      </c>
      <c r="H2444" t="n">
        <v>0.0110840210154511</v>
      </c>
      <c r="I2444" t="n">
        <v>0.5232187185390605</v>
      </c>
      <c r="J2444" t="n">
        <v>0.0581794018564496</v>
      </c>
      <c r="K2444" t="n">
        <v>0.3292338830499939</v>
      </c>
      <c r="L2444" t="b">
        <v>0</v>
      </c>
      <c r="M2444" t="b">
        <v>0</v>
      </c>
      <c r="N2444" t="inlineStr">
        <is>
          <t>ref</t>
        </is>
      </c>
      <c r="O2444" t="n">
        <v>-100</v>
      </c>
      <c r="P2444" t="n">
        <v>0.01063</v>
      </c>
      <c r="Q2444" t="n">
        <v>-40</v>
      </c>
      <c r="R2444" t="n">
        <v>0.07214</v>
      </c>
      <c r="S2444">
        <f>IMAGE("https://mitra.stanford.edu/kundaje/oak/projects/neuro-variants/variant_position/credible/roussos_2024/variant_figures/roussos_2024.childhood.GLU/rs76365544_count_position.png",4,220,900)</f>
        <v/>
      </c>
      <c r="T2444">
        <f>IMAGE("https://mitra.stanford.edu/kundaje/oak/projects/neuro-variants/variant_position/credible/roussos_2024/variant_figures/roussos_2024.childhood.GLU/rs76365544_profile_position.png",4,220,900)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-0.241016026</v>
      </c>
      <c r="G2445" t="n">
        <v>0.004320139878921</v>
      </c>
      <c r="H2445" t="n">
        <v>0.0365821831685815</v>
      </c>
      <c r="I2445" t="n">
        <v>0.0094349931280225</v>
      </c>
      <c r="J2445" t="n">
        <v>0.1413745145105957</v>
      </c>
      <c r="K2445" t="n">
        <v>0.195064541394546</v>
      </c>
      <c r="L2445" t="b">
        <v>1</v>
      </c>
      <c r="M2445" t="b">
        <v>1</v>
      </c>
      <c r="N2445" t="inlineStr">
        <is>
          <t>ref</t>
        </is>
      </c>
      <c r="O2445" t="n">
        <v>85</v>
      </c>
      <c r="P2445" t="n">
        <v>0.01074</v>
      </c>
      <c r="Q2445" t="n">
        <v>75</v>
      </c>
      <c r="R2445" t="n">
        <v>0.02063</v>
      </c>
      <c r="S2445">
        <f>IMAGE("https://mitra.stanford.edu/kundaje/oak/projects/neuro-variants/variant_position/credible/roussos_2024/variant_figures/roussos_2024.childhood.GLU/rs138891_count_position.png",4,220,900)</f>
        <v/>
      </c>
      <c r="T2445">
        <f>IMAGE("https://mitra.stanford.edu/kundaje/oak/projects/neuro-variants/variant_position/credible/roussos_2024/variant_figures/roussos_2024.childhood.GLU/rs138891_profile_position.png",4,220,900)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-0.0167091368599999</v>
      </c>
      <c r="G2446" t="n">
        <v>0.4924090697044853</v>
      </c>
      <c r="H2446" t="n">
        <v>0.0289221409689844</v>
      </c>
      <c r="I2446" t="n">
        <v>0.0253744420582833</v>
      </c>
      <c r="J2446" t="n">
        <v>0.059659822596763</v>
      </c>
      <c r="K2446" t="n">
        <v>0.3238183507752827</v>
      </c>
      <c r="L2446" t="b">
        <v>0</v>
      </c>
      <c r="M2446" t="b">
        <v>0</v>
      </c>
      <c r="N2446" t="inlineStr">
        <is>
          <t>ref</t>
        </is>
      </c>
      <c r="O2446" t="n">
        <v>-30</v>
      </c>
      <c r="P2446" t="n">
        <v>0.003365</v>
      </c>
      <c r="Q2446" t="n">
        <v>-55</v>
      </c>
      <c r="R2446" t="n">
        <v>0.05902</v>
      </c>
      <c r="S2446">
        <f>IMAGE("https://mitra.stanford.edu/kundaje/oak/projects/neuro-variants/variant_position/credible/roussos_2024/variant_figures/roussos_2024.childhood.GLU/rs2319458_count_position.png",4,220,900)</f>
        <v/>
      </c>
      <c r="T2446">
        <f>IMAGE("https://mitra.stanford.edu/kundaje/oak/projects/neuro-variants/variant_position/credible/roussos_2024/variant_figures/roussos_2024.childhood.GLU/rs2319458_profile_position.png",4,220,900)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-0.00161774552</v>
      </c>
      <c r="G2447" t="n">
        <v>0.8491975884715788</v>
      </c>
      <c r="H2447" t="n">
        <v>0.0300456177949975</v>
      </c>
      <c r="I2447" t="n">
        <v>0.0208248108189851</v>
      </c>
      <c r="J2447" t="n">
        <v>0.5128097087578682</v>
      </c>
      <c r="K2447" t="n">
        <v>0.0402621366134679</v>
      </c>
      <c r="L2447" t="b">
        <v>0</v>
      </c>
      <c r="M2447" t="b">
        <v>0</v>
      </c>
      <c r="N2447" t="inlineStr">
        <is>
          <t>ref</t>
        </is>
      </c>
      <c r="O2447" t="n">
        <v>-100</v>
      </c>
      <c r="P2447" t="n">
        <v>0.01404</v>
      </c>
      <c r="Q2447" t="n">
        <v>-100</v>
      </c>
      <c r="R2447" t="n">
        <v>0.323</v>
      </c>
      <c r="S2447">
        <f>IMAGE("https://mitra.stanford.edu/kundaje/oak/projects/neuro-variants/variant_position/credible/roussos_2024/variant_figures/roussos_2024.childhood.GLU/rs13056783_count_position.png",4,220,900)</f>
        <v/>
      </c>
      <c r="T2447">
        <f>IMAGE("https://mitra.stanford.edu/kundaje/oak/projects/neuro-variants/variant_position/credible/roussos_2024/variant_figures/roussos_2024.childhood.GLU/rs13056783_profile_position.png",4,220,900)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0.12817018</v>
      </c>
      <c r="G2448" t="n">
        <v>0.0270086672550908</v>
      </c>
      <c r="H2448" t="n">
        <v>0.0263771343863757</v>
      </c>
      <c r="I2448" t="n">
        <v>0.0359844603033694</v>
      </c>
      <c r="J2448" t="n">
        <v>0.1634561694499675</v>
      </c>
      <c r="K2448" t="n">
        <v>0.1763054620094634</v>
      </c>
      <c r="L2448" t="b">
        <v>0</v>
      </c>
      <c r="M2448" t="b">
        <v>0</v>
      </c>
      <c r="N2448" t="inlineStr">
        <is>
          <t>alt</t>
        </is>
      </c>
      <c r="O2448" t="n">
        <v>-100</v>
      </c>
      <c r="P2448" t="n">
        <v>0.02588</v>
      </c>
      <c r="Q2448" t="n">
        <v>15</v>
      </c>
      <c r="R2448" t="n">
        <v>0.01294</v>
      </c>
      <c r="S2448">
        <f>IMAGE("https://mitra.stanford.edu/kundaje/oak/projects/neuro-variants/variant_position/credible/roussos_2024/variant_figures/roussos_2024.childhood.GLU/rs2295409_count_position.png",4,220,900)</f>
        <v/>
      </c>
      <c r="T2448">
        <f>IMAGE("https://mitra.stanford.edu/kundaje/oak/projects/neuro-variants/variant_position/credible/roussos_2024/variant_figures/roussos_2024.childhood.GLU/rs2295409_profile_position.png",4,220,900)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0.00172371708</v>
      </c>
      <c r="G2449" t="n">
        <v>0.6826578269610757</v>
      </c>
      <c r="H2449" t="n">
        <v>0.008648576306723801</v>
      </c>
      <c r="I2449" t="n">
        <v>0.8119974814826662</v>
      </c>
      <c r="J2449" t="n">
        <v>0.1169213017812438</v>
      </c>
      <c r="K2449" t="n">
        <v>0.2242165385824261</v>
      </c>
      <c r="L2449" t="b">
        <v>0</v>
      </c>
      <c r="M2449" t="b">
        <v>0</v>
      </c>
      <c r="N2449" t="inlineStr">
        <is>
          <t>alt</t>
        </is>
      </c>
      <c r="O2449" t="n">
        <v>-75</v>
      </c>
      <c r="P2449" t="n">
        <v>0.003956</v>
      </c>
      <c r="Q2449" t="n">
        <v>-50</v>
      </c>
      <c r="R2449" t="n">
        <v>0.0886</v>
      </c>
      <c r="S2449">
        <f>IMAGE("https://mitra.stanford.edu/kundaje/oak/projects/neuro-variants/variant_position/credible/roussos_2024/variant_figures/roussos_2024.childhood.GLU/rs8139758_count_position.png",4,220,900)</f>
        <v/>
      </c>
      <c r="T2449">
        <f>IMAGE("https://mitra.stanford.edu/kundaje/oak/projects/neuro-variants/variant_position/credible/roussos_2024/variant_figures/roussos_2024.childhood.GLU/rs8139758_profile_position.png",4,220,900)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-0.038067051</v>
      </c>
      <c r="G2450" t="n">
        <v>0.2637708242093957</v>
      </c>
      <c r="H2450" t="n">
        <v>0.0120820778158269</v>
      </c>
      <c r="I2450" t="n">
        <v>0.4503015933703458</v>
      </c>
      <c r="J2450" t="n">
        <v>0.1181822864619283</v>
      </c>
      <c r="K2450" t="n">
        <v>0.2218239052869162</v>
      </c>
      <c r="L2450" t="b">
        <v>0</v>
      </c>
      <c r="M2450" t="b">
        <v>0</v>
      </c>
      <c r="N2450" t="inlineStr">
        <is>
          <t>ref</t>
        </is>
      </c>
      <c r="O2450" t="n">
        <v>-75</v>
      </c>
      <c r="P2450" t="n">
        <v>0.04303</v>
      </c>
      <c r="Q2450" t="n">
        <v>-75</v>
      </c>
      <c r="R2450" t="n">
        <v>0.01877</v>
      </c>
      <c r="S2450">
        <f>IMAGE("https://mitra.stanford.edu/kundaje/oak/projects/neuro-variants/variant_position/credible/roussos_2024/variant_figures/roussos_2024.childhood.GLU/rs5769761_count_position.png",4,220,900)</f>
        <v/>
      </c>
      <c r="T2450">
        <f>IMAGE("https://mitra.stanford.edu/kundaje/oak/projects/neuro-variants/variant_position/credible/roussos_2024/variant_figures/roussos_2024.childhood.GLU/rs5769761_profile_position.png",4,220,900)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0.008038703120000001</v>
      </c>
      <c r="G2451" t="n">
        <v>0.6277595903500354</v>
      </c>
      <c r="H2451" t="n">
        <v>0.0206668206717999</v>
      </c>
      <c r="I2451" t="n">
        <v>0.0874919396714563</v>
      </c>
      <c r="J2451" t="n">
        <v>0.0404442292437182</v>
      </c>
      <c r="K2451" t="n">
        <v>0.3827427732494253</v>
      </c>
      <c r="L2451" t="b">
        <v>0</v>
      </c>
      <c r="M2451" t="b">
        <v>0</v>
      </c>
      <c r="N2451" t="inlineStr">
        <is>
          <t>alt</t>
        </is>
      </c>
      <c r="O2451" t="n">
        <v>-15</v>
      </c>
      <c r="P2451" t="n">
        <v>0.001404</v>
      </c>
      <c r="Q2451" t="n">
        <v>100</v>
      </c>
      <c r="R2451" t="n">
        <v>0.1377</v>
      </c>
      <c r="S2451">
        <f>IMAGE("https://mitra.stanford.edu/kundaje/oak/projects/neuro-variants/variant_position/credible/roussos_2024/variant_figures/roussos_2024.childhood.GLU/rs5769762_count_position.png",4,220,900)</f>
        <v/>
      </c>
      <c r="T2451">
        <f>IMAGE("https://mitra.stanford.edu/kundaje/oak/projects/neuro-variants/variant_position/credible/roussos_2024/variant_figures/roussos_2024.childhood.GLU/rs5769762_profile_position.png",4,220,900)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-0.0079769678</v>
      </c>
      <c r="G2452" t="n">
        <v>0.3757944670759779</v>
      </c>
      <c r="H2452" t="n">
        <v>0.009928831751394701</v>
      </c>
      <c r="I2452" t="n">
        <v>0.6699960790959858</v>
      </c>
      <c r="J2452" t="n">
        <v>0.3701123965920446</v>
      </c>
      <c r="K2452" t="n">
        <v>0.0727569189314225</v>
      </c>
      <c r="L2452" t="b">
        <v>0</v>
      </c>
      <c r="M2452" t="b">
        <v>0</v>
      </c>
      <c r="N2452" t="inlineStr">
        <is>
          <t>ref</t>
        </is>
      </c>
      <c r="O2452" t="n">
        <v>100</v>
      </c>
      <c r="P2452" t="n">
        <v>0.0713</v>
      </c>
      <c r="Q2452" t="n">
        <v>55</v>
      </c>
      <c r="R2452" t="n">
        <v>0.1813</v>
      </c>
      <c r="S2452">
        <f>IMAGE("https://mitra.stanford.edu/kundaje/oak/projects/neuro-variants/variant_position/credible/roussos_2024/variant_figures/roussos_2024.childhood.GLU/rs4824106_count_position.png",4,220,900)</f>
        <v/>
      </c>
      <c r="T2452">
        <f>IMAGE("https://mitra.stanford.edu/kundaje/oak/projects/neuro-variants/variant_position/credible/roussos_2024/variant_figures/roussos_2024.childhood.GLU/rs4824106_profile_position.png",4,220,900)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0.1150075887999999</v>
      </c>
      <c r="G2453" t="n">
        <v>0.0317237633081965</v>
      </c>
      <c r="H2453" t="n">
        <v>0.0150288084791502</v>
      </c>
      <c r="I2453" t="n">
        <v>0.2506209225371409</v>
      </c>
      <c r="J2453" t="n">
        <v>0.6842160569503538</v>
      </c>
      <c r="K2453" t="n">
        <v>0.0144654256180611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0.02101</v>
      </c>
      <c r="Q2453" t="n">
        <v>80</v>
      </c>
      <c r="R2453" t="n">
        <v>0.2168</v>
      </c>
      <c r="S2453">
        <f>IMAGE("https://mitra.stanford.edu/kundaje/oak/projects/neuro-variants/variant_position/credible/roussos_2024/variant_figures/roussos_2024.childhood.GLU/rs8184990_count_position.png",4,220,900)</f>
        <v/>
      </c>
      <c r="T2453">
        <f>IMAGE("https://mitra.stanford.edu/kundaje/oak/projects/neuro-variants/variant_position/credible/roussos_2024/variant_figures/roussos_2024.childhood.GLU/rs8184990_profile_position.png",4,220,900)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0.27987181</v>
      </c>
      <c r="G2454" t="n">
        <v>0.0026460355388678</v>
      </c>
      <c r="H2454" t="n">
        <v>0.0461224601867179</v>
      </c>
      <c r="I2454" t="n">
        <v>0.004190222163844</v>
      </c>
      <c r="J2454" t="n">
        <v>0.7292272347965838</v>
      </c>
      <c r="K2454" t="n">
        <v>0.01230050878093</v>
      </c>
      <c r="L2454" t="b">
        <v>1</v>
      </c>
      <c r="M2454" t="b">
        <v>1</v>
      </c>
      <c r="N2454" t="inlineStr">
        <is>
          <t>alt</t>
        </is>
      </c>
      <c r="O2454" t="n">
        <v>-40</v>
      </c>
      <c r="P2454" t="n">
        <v>0.003963</v>
      </c>
      <c r="Q2454" t="n">
        <v>-50</v>
      </c>
      <c r="R2454" t="n">
        <v>0.1315</v>
      </c>
      <c r="S2454">
        <f>IMAGE("https://mitra.stanford.edu/kundaje/oak/projects/neuro-variants/variant_position/credible/roussos_2024/variant_figures/roussos_2024.childhood.GLU/rs910799_count_position.png",4,220,900)</f>
        <v/>
      </c>
      <c r="T2454">
        <f>IMAGE("https://mitra.stanford.edu/kundaje/oak/projects/neuro-variants/variant_position/credible/roussos_2024/variant_figures/roussos_2024.childhood.GLU/rs910799_profile_position.png",4,220,900)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-0.1830370039999999</v>
      </c>
      <c r="G2455" t="n">
        <v>0.0102569879254046</v>
      </c>
      <c r="H2455" t="n">
        <v>0.0426413717451825</v>
      </c>
      <c r="I2455" t="n">
        <v>0.0070904445367667</v>
      </c>
      <c r="J2455" t="n">
        <v>0.6854729207660688</v>
      </c>
      <c r="K2455" t="n">
        <v>0.0164006768099158</v>
      </c>
      <c r="L2455" t="b">
        <v>1</v>
      </c>
      <c r="M2455" t="b">
        <v>1</v>
      </c>
      <c r="N2455" t="inlineStr">
        <is>
          <t>ref</t>
        </is>
      </c>
      <c r="O2455" t="n">
        <v>-75</v>
      </c>
      <c r="P2455" t="n">
        <v>0.002773</v>
      </c>
      <c r="Q2455" t="n">
        <v>50</v>
      </c>
      <c r="R2455" t="n">
        <v>0.07806</v>
      </c>
      <c r="S2455">
        <f>IMAGE("https://mitra.stanford.edu/kundaje/oak/projects/neuro-variants/variant_position/credible/roussos_2024/variant_figures/roussos_2024.childhood.GLU/rs910800_count_position.png",4,220,900)</f>
        <v/>
      </c>
      <c r="T2455">
        <f>IMAGE("https://mitra.stanford.edu/kundaje/oak/projects/neuro-variants/variant_position/credible/roussos_2024/variant_figures/roussos_2024.childhood.GLU/rs910800_profile_position.png",4,220,900)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-0.0651541202</v>
      </c>
      <c r="G2456" t="n">
        <v>0.108474569603294</v>
      </c>
      <c r="H2456" t="n">
        <v>0.0106080445977278</v>
      </c>
      <c r="I2456" t="n">
        <v>0.5968098774906373</v>
      </c>
      <c r="J2456" t="n">
        <v>0.07571471251815751</v>
      </c>
      <c r="K2456" t="n">
        <v>0.2995390248342069</v>
      </c>
      <c r="L2456" t="b">
        <v>0</v>
      </c>
      <c r="M2456" t="b">
        <v>0</v>
      </c>
      <c r="N2456" t="inlineStr">
        <is>
          <t>ref</t>
        </is>
      </c>
      <c r="O2456" t="n">
        <v>50</v>
      </c>
      <c r="P2456" t="n">
        <v>0.0008698</v>
      </c>
      <c r="Q2456" t="n">
        <v>-45</v>
      </c>
      <c r="R2456" t="n">
        <v>0.0718</v>
      </c>
      <c r="S2456">
        <f>IMAGE("https://mitra.stanford.edu/kundaje/oak/projects/neuro-variants/variant_position/credible/roussos_2024/variant_figures/roussos_2024.childhood.GLU/rs768618_count_position.png",4,220,900)</f>
        <v/>
      </c>
      <c r="T2456">
        <f>IMAGE("https://mitra.stanford.edu/kundaje/oak/projects/neuro-variants/variant_position/credible/roussos_2024/variant_figures/roussos_2024.childhood.GLU/rs768618_profile_position.png",4,220,900)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-0.00594321786</v>
      </c>
      <c r="G2457" t="n">
        <v>0.4803001943895659</v>
      </c>
      <c r="H2457" t="n">
        <v>0.0218680808135056</v>
      </c>
      <c r="I2457" t="n">
        <v>0.0748700696196927</v>
      </c>
      <c r="J2457" t="n">
        <v>0.0616316564846961</v>
      </c>
      <c r="K2457" t="n">
        <v>0.329015900681525</v>
      </c>
      <c r="L2457" t="b">
        <v>0</v>
      </c>
      <c r="M2457" t="b">
        <v>0</v>
      </c>
      <c r="N2457" t="inlineStr">
        <is>
          <t>ref</t>
        </is>
      </c>
      <c r="O2457" t="n">
        <v>-95</v>
      </c>
      <c r="P2457" t="n">
        <v>0.008880000000000001</v>
      </c>
      <c r="Q2457" t="n">
        <v>-95</v>
      </c>
      <c r="R2457" t="n">
        <v>0.0736</v>
      </c>
      <c r="S2457">
        <f>IMAGE("https://mitra.stanford.edu/kundaje/oak/projects/neuro-variants/variant_position/credible/roussos_2024/variant_figures/roussos_2024.childhood.GLU/rs768619_count_position.png",4,220,900)</f>
        <v/>
      </c>
      <c r="T2457">
        <f>IMAGE("https://mitra.stanford.edu/kundaje/oak/projects/neuro-variants/variant_position/credible/roussos_2024/variant_figures/roussos_2024.childhood.GLU/rs768619_profile_position.png",4,220,900)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-0.14745391</v>
      </c>
      <c r="G2458" t="n">
        <v>0.0198191356014615</v>
      </c>
      <c r="H2458" t="n">
        <v>0.0144879043915321</v>
      </c>
      <c r="I2458" t="n">
        <v>0.2910796116673639</v>
      </c>
      <c r="J2458" t="n">
        <v>0.0248498459826716</v>
      </c>
      <c r="K2458" t="n">
        <v>0.4668304943443606</v>
      </c>
      <c r="L2458" t="b">
        <v>1</v>
      </c>
      <c r="M2458" t="b">
        <v>0</v>
      </c>
      <c r="N2458" t="inlineStr">
        <is>
          <t>ref</t>
        </is>
      </c>
      <c r="O2458" t="n">
        <v>70</v>
      </c>
      <c r="P2458" t="n">
        <v>0.02275</v>
      </c>
      <c r="Q2458" t="n">
        <v>-60</v>
      </c>
      <c r="R2458" t="n">
        <v>0.0828</v>
      </c>
      <c r="S2458">
        <f>IMAGE("https://mitra.stanford.edu/kundaje/oak/projects/neuro-variants/variant_position/credible/roussos_2024/variant_figures/roussos_2024.childhood.GLU/rs8138687_count_position.png",4,220,900)</f>
        <v/>
      </c>
      <c r="T2458">
        <f>IMAGE("https://mitra.stanford.edu/kundaje/oak/projects/neuro-variants/variant_position/credible/roussos_2024/variant_figures/roussos_2024.childhood.GLU/rs8138687_profile_position.png",4,220,900)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-0.0014186898159999</v>
      </c>
      <c r="G2459" t="n">
        <v>0.858277901343135</v>
      </c>
      <c r="H2459" t="n">
        <v>0.0208420357987628</v>
      </c>
      <c r="I2459" t="n">
        <v>0.0855736720207956</v>
      </c>
      <c r="J2459" t="n">
        <v>0.303279178299525</v>
      </c>
      <c r="K2459" t="n">
        <v>0.0962528542021631</v>
      </c>
      <c r="L2459" t="b">
        <v>0</v>
      </c>
      <c r="M2459" t="b">
        <v>0</v>
      </c>
      <c r="N2459" t="inlineStr">
        <is>
          <t>ref</t>
        </is>
      </c>
      <c r="O2459" t="n">
        <v>-100</v>
      </c>
      <c r="P2459" t="n">
        <v>0.005585</v>
      </c>
      <c r="Q2459" t="n">
        <v>90</v>
      </c>
      <c r="R2459" t="n">
        <v>0.06015</v>
      </c>
      <c r="S2459">
        <f>IMAGE("https://mitra.stanford.edu/kundaje/oak/projects/neuro-variants/variant_position/credible/roussos_2024/variant_figures/roussos_2024.childhood.GLU/rs3883952_count_position.png",4,220,900)</f>
        <v/>
      </c>
      <c r="T2459">
        <f>IMAGE("https://mitra.stanford.edu/kundaje/oak/projects/neuro-variants/variant_position/credible/roussos_2024/variant_figures/roussos_2024.childhood.GLU/rs3883952_profile_position.png",4,220,900)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-0.02033470028</v>
      </c>
      <c r="G2460" t="n">
        <v>0.4386403289455547</v>
      </c>
      <c r="H2460" t="n">
        <v>0.0114526217550031</v>
      </c>
      <c r="I2460" t="n">
        <v>0.5066914520227109</v>
      </c>
      <c r="J2460" t="n">
        <v>0.5807977994581063</v>
      </c>
      <c r="K2460" t="n">
        <v>0.0291733994518382</v>
      </c>
      <c r="L2460" t="b">
        <v>0</v>
      </c>
      <c r="M2460" t="b">
        <v>0</v>
      </c>
      <c r="N2460" t="inlineStr">
        <is>
          <t>ref</t>
        </is>
      </c>
      <c r="O2460" t="n">
        <v>80</v>
      </c>
      <c r="P2460" t="n">
        <v>0.00916</v>
      </c>
      <c r="Q2460" t="n">
        <v>-35</v>
      </c>
      <c r="R2460" t="n">
        <v>0.01901</v>
      </c>
      <c r="S2460">
        <f>IMAGE("https://mitra.stanford.edu/kundaje/oak/projects/neuro-variants/variant_position/credible/roussos_2024/variant_figures/roussos_2024.childhood.GLU/rs8137331_count_position.png",4,220,900)</f>
        <v/>
      </c>
      <c r="T2460">
        <f>IMAGE("https://mitra.stanford.edu/kundaje/oak/projects/neuro-variants/variant_position/credible/roussos_2024/variant_figures/roussos_2024.childhood.GLU/rs8137331_profile_position.png",4,220,900)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0.0198344724</v>
      </c>
      <c r="G2461" t="n">
        <v>0.4507129772761261</v>
      </c>
      <c r="H2461" t="n">
        <v>0.0125174416959394</v>
      </c>
      <c r="I2461" t="n">
        <v>0.3940136198740701</v>
      </c>
      <c r="J2461" t="n">
        <v>0.5069467481224308</v>
      </c>
      <c r="K2461" t="n">
        <v>0.0411063095345361</v>
      </c>
      <c r="L2461" t="b">
        <v>0</v>
      </c>
      <c r="M2461" t="b">
        <v>0</v>
      </c>
      <c r="N2461" t="inlineStr">
        <is>
          <t>alt</t>
        </is>
      </c>
      <c r="O2461" t="n">
        <v>-20</v>
      </c>
      <c r="P2461" t="n">
        <v>0.0007997</v>
      </c>
      <c r="Q2461" t="n">
        <v>100</v>
      </c>
      <c r="R2461" t="n">
        <v>0.1528</v>
      </c>
      <c r="S2461">
        <f>IMAGE("https://mitra.stanford.edu/kundaje/oak/projects/neuro-variants/variant_position/credible/roussos_2024/variant_figures/roussos_2024.childhood.GLU/rs7284417_count_position.png",4,220,900)</f>
        <v/>
      </c>
      <c r="T2461">
        <f>IMAGE("https://mitra.stanford.edu/kundaje/oak/projects/neuro-variants/variant_position/credible/roussos_2024/variant_figures/roussos_2024.childhood.GLU/rs7284417_profile_position.png",4,220,900)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-0.0055215208399999</v>
      </c>
      <c r="G2462" t="n">
        <v>0.707984017215281</v>
      </c>
      <c r="H2462" t="n">
        <v>0.0288871295734341</v>
      </c>
      <c r="I2462" t="n">
        <v>0.0253777835608908</v>
      </c>
      <c r="J2462" t="n">
        <v>0.004377388813912</v>
      </c>
      <c r="K2462" t="n">
        <v>0.6985035041424327</v>
      </c>
      <c r="L2462" t="b">
        <v>0</v>
      </c>
      <c r="M2462" t="b">
        <v>0</v>
      </c>
      <c r="N2462" t="inlineStr">
        <is>
          <t>ref</t>
        </is>
      </c>
      <c r="O2462" t="n">
        <v>65</v>
      </c>
      <c r="P2462" t="n">
        <v>0.012314</v>
      </c>
      <c r="Q2462" t="n">
        <v>-95</v>
      </c>
      <c r="R2462" t="n">
        <v>0.11816</v>
      </c>
      <c r="S2462">
        <f>IMAGE("https://mitra.stanford.edu/kundaje/oak/projects/neuro-variants/variant_position/credible/roussos_2024/variant_figures/roussos_2024.childhood.GLU/rs6010043_count_position.png",4,220,900)</f>
        <v/>
      </c>
      <c r="T2462">
        <f>IMAGE("https://mitra.stanford.edu/kundaje/oak/projects/neuro-variants/variant_position/credible/roussos_2024/variant_figures/roussos_2024.childhood.GLU/rs6010043_profile_position.png",4,220,900)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-0.0785214499999999</v>
      </c>
      <c r="G2463" t="n">
        <v>0.08312732867268061</v>
      </c>
      <c r="H2463" t="n">
        <v>0.0136020736295084</v>
      </c>
      <c r="I2463" t="n">
        <v>0.3225045528784004</v>
      </c>
      <c r="J2463" t="n">
        <v>0.1317564156716494</v>
      </c>
      <c r="K2463" t="n">
        <v>0.2115115589359733</v>
      </c>
      <c r="L2463" t="b">
        <v>0</v>
      </c>
      <c r="M2463" t="b">
        <v>0</v>
      </c>
      <c r="N2463" t="inlineStr">
        <is>
          <t>ref</t>
        </is>
      </c>
      <c r="O2463" t="n">
        <v>60</v>
      </c>
      <c r="P2463" t="n">
        <v>0.006035</v>
      </c>
      <c r="Q2463" t="n">
        <v>-15</v>
      </c>
      <c r="R2463" t="n">
        <v>0.013306</v>
      </c>
      <c r="S2463">
        <f>IMAGE("https://mitra.stanford.edu/kundaje/oak/projects/neuro-variants/variant_position/credible/roussos_2024/variant_figures/roussos_2024.childhood.GLU/rs4685508_count_position.png",4,220,900)</f>
        <v/>
      </c>
      <c r="T2463">
        <f>IMAGE("https://mitra.stanford.edu/kundaje/oak/projects/neuro-variants/variant_position/credible/roussos_2024/variant_figures/roussos_2024.childhood.GLU/rs4685508_profile_position.png",4,220,900)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0.118220908</v>
      </c>
      <c r="G2464" t="n">
        <v>0.0326158264661502</v>
      </c>
      <c r="H2464" t="n">
        <v>0.0291439138485109</v>
      </c>
      <c r="I2464" t="n">
        <v>0.0254026602204751</v>
      </c>
      <c r="J2464" t="n">
        <v>0.0541028361853152</v>
      </c>
      <c r="K2464" t="n">
        <v>0.337713038737472</v>
      </c>
      <c r="L2464" t="b">
        <v>0</v>
      </c>
      <c r="M2464" t="b">
        <v>0</v>
      </c>
      <c r="N2464" t="inlineStr">
        <is>
          <t>alt</t>
        </is>
      </c>
      <c r="O2464" t="n">
        <v>10</v>
      </c>
      <c r="P2464" t="n">
        <v>0.001003</v>
      </c>
      <c r="Q2464" t="n">
        <v>65</v>
      </c>
      <c r="R2464" t="n">
        <v>0.04395</v>
      </c>
      <c r="S2464">
        <f>IMAGE("https://mitra.stanford.edu/kundaje/oak/projects/neuro-variants/variant_position/credible/roussos_2024/variant_figures/roussos_2024.childhood.GLU/rs12638682_count_position.png",4,220,900)</f>
        <v/>
      </c>
      <c r="T2464">
        <f>IMAGE("https://mitra.stanford.edu/kundaje/oak/projects/neuro-variants/variant_position/credible/roussos_2024/variant_figures/roussos_2024.childhood.GLU/rs12638682_profile_position.png",4,220,900)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-0.1101340876</v>
      </c>
      <c r="G2465" t="n">
        <v>0.0432742158040618</v>
      </c>
      <c r="H2465" t="n">
        <v>0.0288074434300312</v>
      </c>
      <c r="I2465" t="n">
        <v>0.0256650739251703</v>
      </c>
      <c r="J2465" t="n">
        <v>0.0018162712353322</v>
      </c>
      <c r="K2465" t="n">
        <v>0.7729210542095185</v>
      </c>
      <c r="L2465" t="b">
        <v>0</v>
      </c>
      <c r="M2465" t="b">
        <v>0</v>
      </c>
      <c r="N2465" t="inlineStr">
        <is>
          <t>ref</t>
        </is>
      </c>
      <c r="O2465" t="n">
        <v>40</v>
      </c>
      <c r="P2465" t="n">
        <v>0.006516</v>
      </c>
      <c r="Q2465" t="n">
        <v>95</v>
      </c>
      <c r="R2465" t="n">
        <v>0.06469999999999999</v>
      </c>
      <c r="S2465">
        <f>IMAGE("https://mitra.stanford.edu/kundaje/oak/projects/neuro-variants/variant_position/credible/roussos_2024/variant_figures/roussos_2024.childhood.GLU/rs56251018_count_position.png",4,220,900)</f>
        <v/>
      </c>
      <c r="T2465">
        <f>IMAGE("https://mitra.stanford.edu/kundaje/oak/projects/neuro-variants/variant_position/credible/roussos_2024/variant_figures/roussos_2024.childhood.GLU/rs56251018_profile_position.png",4,220,900)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0.385226308</v>
      </c>
      <c r="G2466" t="n">
        <v>0.0008106726393239</v>
      </c>
      <c r="H2466" t="n">
        <v>0.0503614535052601</v>
      </c>
      <c r="I2466" t="n">
        <v>0.0030511974328422</v>
      </c>
      <c r="J2466" t="n">
        <v>0.1762576364778966</v>
      </c>
      <c r="K2466" t="n">
        <v>0.1805385067376145</v>
      </c>
      <c r="L2466" t="b">
        <v>1</v>
      </c>
      <c r="M2466" t="b">
        <v>1</v>
      </c>
      <c r="N2466" t="inlineStr">
        <is>
          <t>alt</t>
        </is>
      </c>
      <c r="O2466" t="n">
        <v>-80</v>
      </c>
      <c r="P2466" t="n">
        <v>0.008359999999999999</v>
      </c>
      <c r="Q2466" t="n">
        <v>-85</v>
      </c>
      <c r="R2466" t="n">
        <v>0.1484</v>
      </c>
      <c r="S2466">
        <f>IMAGE("https://mitra.stanford.edu/kundaje/oak/projects/neuro-variants/variant_position/credible/roussos_2024/variant_figures/roussos_2024.childhood.GLU/rs1720179_count_position.png",4,220,900)</f>
        <v/>
      </c>
      <c r="T2466">
        <f>IMAGE("https://mitra.stanford.edu/kundaje/oak/projects/neuro-variants/variant_position/credible/roussos_2024/variant_figures/roussos_2024.childhood.GLU/rs1720179_profile_position.png",4,220,900)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-0.0302180723999999</v>
      </c>
      <c r="G2467" t="n">
        <v>0.3524940578531765</v>
      </c>
      <c r="H2467" t="n">
        <v>0.0121378389181196</v>
      </c>
      <c r="I2467" t="n">
        <v>0.4425879596990498</v>
      </c>
      <c r="J2467" t="n">
        <v>0.0001328978952681</v>
      </c>
      <c r="K2467" t="n">
        <v>0.9261502109253068</v>
      </c>
      <c r="L2467" t="b">
        <v>0</v>
      </c>
      <c r="M2467" t="b">
        <v>0</v>
      </c>
      <c r="N2467" t="inlineStr">
        <is>
          <t>ref</t>
        </is>
      </c>
      <c r="O2467" t="n">
        <v>100</v>
      </c>
      <c r="P2467" t="n">
        <v>0.02164</v>
      </c>
      <c r="Q2467" t="n">
        <v>100</v>
      </c>
      <c r="R2467" t="n">
        <v>0.10986</v>
      </c>
      <c r="S2467">
        <f>IMAGE("https://mitra.stanford.edu/kundaje/oak/projects/neuro-variants/variant_position/credible/roussos_2024/variant_figures/roussos_2024.childhood.GLU/rs1685495_count_position.png",4,220,900)</f>
        <v/>
      </c>
      <c r="T2467">
        <f>IMAGE("https://mitra.stanford.edu/kundaje/oak/projects/neuro-variants/variant_position/credible/roussos_2024/variant_figures/roussos_2024.childhood.GLU/rs1685495_profile_position.png",4,220,900)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-0.0010107919399999</v>
      </c>
      <c r="G2468" t="n">
        <v>0.6702679580193841</v>
      </c>
      <c r="H2468" t="n">
        <v>0.0180787582079005</v>
      </c>
      <c r="I2468" t="n">
        <v>0.1406368993265454</v>
      </c>
      <c r="J2468" t="n">
        <v>0.0462093193361286</v>
      </c>
      <c r="K2468" t="n">
        <v>0.3591322930959095</v>
      </c>
      <c r="L2468" t="b">
        <v>0</v>
      </c>
      <c r="M2468" t="b">
        <v>0</v>
      </c>
      <c r="N2468" t="inlineStr">
        <is>
          <t>ref</t>
        </is>
      </c>
      <c r="O2468" t="n">
        <v>-75</v>
      </c>
      <c r="P2468" t="n">
        <v>0.009509999999999999</v>
      </c>
      <c r="Q2468" t="n">
        <v>-75</v>
      </c>
      <c r="R2468" t="n">
        <v>0.1912</v>
      </c>
      <c r="S2468">
        <f>IMAGE("https://mitra.stanford.edu/kundaje/oak/projects/neuro-variants/variant_position/credible/roussos_2024/variant_figures/roussos_2024.childhood.GLU/rs4685517_count_position.png",4,220,900)</f>
        <v/>
      </c>
      <c r="T2468">
        <f>IMAGE("https://mitra.stanford.edu/kundaje/oak/projects/neuro-variants/variant_position/credible/roussos_2024/variant_figures/roussos_2024.childhood.GLU/rs4685517_profile_position.png",4,220,900)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0.00757789972</v>
      </c>
      <c r="G2469" t="n">
        <v>0.7114785813494967</v>
      </c>
      <c r="H2469" t="n">
        <v>0.0262379541060323</v>
      </c>
      <c r="I2469" t="n">
        <v>0.0359788166172642</v>
      </c>
      <c r="J2469" t="n">
        <v>0.1082530623177804</v>
      </c>
      <c r="K2469" t="n">
        <v>0.2350218996130995</v>
      </c>
      <c r="L2469" t="b">
        <v>0</v>
      </c>
      <c r="M2469" t="b">
        <v>0</v>
      </c>
      <c r="N2469" t="inlineStr">
        <is>
          <t>alt</t>
        </is>
      </c>
      <c r="O2469" t="n">
        <v>-100</v>
      </c>
      <c r="P2469" t="n">
        <v>0.00293</v>
      </c>
      <c r="Q2469" t="n">
        <v>-10</v>
      </c>
      <c r="R2469" t="n">
        <v>0.011475</v>
      </c>
      <c r="S2469">
        <f>IMAGE("https://mitra.stanford.edu/kundaje/oak/projects/neuro-variants/variant_position/credible/roussos_2024/variant_figures/roussos_2024.childhood.GLU/rs6787394_count_position.png",4,220,900)</f>
        <v/>
      </c>
      <c r="T2469">
        <f>IMAGE("https://mitra.stanford.edu/kundaje/oak/projects/neuro-variants/variant_position/credible/roussos_2024/variant_figures/roussos_2024.childhood.GLU/rs6787394_profile_position.png",4,220,900)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0.010977789</v>
      </c>
      <c r="G2470" t="n">
        <v>0.344271243432187</v>
      </c>
      <c r="H2470" t="n">
        <v>0.0200543114450766</v>
      </c>
      <c r="I2470" t="n">
        <v>0.1005286316912788</v>
      </c>
      <c r="J2470" t="n">
        <v>0.0543109398662778</v>
      </c>
      <c r="K2470" t="n">
        <v>0.3388710937479751</v>
      </c>
      <c r="L2470" t="b">
        <v>0</v>
      </c>
      <c r="M2470" t="b">
        <v>0</v>
      </c>
      <c r="N2470" t="inlineStr">
        <is>
          <t>alt</t>
        </is>
      </c>
      <c r="O2470" t="n">
        <v>35</v>
      </c>
      <c r="P2470" t="n">
        <v>0.011475</v>
      </c>
      <c r="Q2470" t="n">
        <v>-55</v>
      </c>
      <c r="R2470" t="n">
        <v>0.0825</v>
      </c>
      <c r="S2470">
        <f>IMAGE("https://mitra.stanford.edu/kundaje/oak/projects/neuro-variants/variant_position/credible/roussos_2024/variant_figures/roussos_2024.childhood.GLU/rs67888396_count_position.png",4,220,900)</f>
        <v/>
      </c>
      <c r="T2470">
        <f>IMAGE("https://mitra.stanford.edu/kundaje/oak/projects/neuro-variants/variant_position/credible/roussos_2024/variant_figures/roussos_2024.childhood.GLU/rs67888396_profile_position.png",4,220,900)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0.0534478446</v>
      </c>
      <c r="G2471" t="n">
        <v>0.1582379265065747</v>
      </c>
      <c r="H2471" t="n">
        <v>0.0225796089786212</v>
      </c>
      <c r="I2471" t="n">
        <v>0.062721572438673</v>
      </c>
      <c r="J2471" t="n">
        <v>0.0467130950786569</v>
      </c>
      <c r="K2471" t="n">
        <v>0.3624435414360283</v>
      </c>
      <c r="L2471" t="b">
        <v>0</v>
      </c>
      <c r="M2471" t="b">
        <v>0</v>
      </c>
      <c r="N2471" t="inlineStr">
        <is>
          <t>alt</t>
        </is>
      </c>
      <c r="O2471" t="n">
        <v>-45</v>
      </c>
      <c r="P2471" t="n">
        <v>0.1098</v>
      </c>
      <c r="Q2471" t="n">
        <v>-100</v>
      </c>
      <c r="R2471" t="n">
        <v>0.1</v>
      </c>
      <c r="S2471">
        <f>IMAGE("https://mitra.stanford.edu/kundaje/oak/projects/neuro-variants/variant_position/credible/roussos_2024/variant_figures/roussos_2024.childhood.GLU/rs67733815_count_position.png",4,220,900)</f>
        <v/>
      </c>
      <c r="T2471">
        <f>IMAGE("https://mitra.stanford.edu/kundaje/oak/projects/neuro-variants/variant_position/credible/roussos_2024/variant_figures/roussos_2024.childhood.GLU/rs67733815_profile_position.png",4,220,900)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0.0183888331934</v>
      </c>
      <c r="G2472" t="n">
        <v>0.4950127293337988</v>
      </c>
      <c r="H2472" t="n">
        <v>0.0123940875270539</v>
      </c>
      <c r="I2472" t="n">
        <v>0.412577541702935</v>
      </c>
      <c r="J2472" t="n">
        <v>0.0123636251249136</v>
      </c>
      <c r="K2472" t="n">
        <v>0.5585269592477553</v>
      </c>
      <c r="L2472" t="b">
        <v>0</v>
      </c>
      <c r="M2472" t="b">
        <v>0</v>
      </c>
      <c r="N2472" t="inlineStr">
        <is>
          <t>alt</t>
        </is>
      </c>
      <c r="O2472" t="n">
        <v>-55</v>
      </c>
      <c r="P2472" t="n">
        <v>0.003473</v>
      </c>
      <c r="Q2472" t="n">
        <v>0</v>
      </c>
      <c r="R2472" t="n">
        <v>0</v>
      </c>
      <c r="S2472">
        <f>IMAGE("https://mitra.stanford.edu/kundaje/oak/projects/neuro-variants/variant_position/credible/roussos_2024/variant_figures/roussos_2024.childhood.GLU/rs1072848_count_position.png",4,220,900)</f>
        <v/>
      </c>
      <c r="T2472">
        <f>IMAGE("https://mitra.stanford.edu/kundaje/oak/projects/neuro-variants/variant_position/credible/roussos_2024/variant_figures/roussos_2024.childhood.GLU/rs1072848_profile_position.png",4,220,900)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-0.378718734</v>
      </c>
      <c r="G2473" t="n">
        <v>0.0009368548940312</v>
      </c>
      <c r="H2473" t="n">
        <v>0.0452152983353084</v>
      </c>
      <c r="I2473" t="n">
        <v>0.004429470670718</v>
      </c>
      <c r="J2473" t="n">
        <v>0.0529046946954165</v>
      </c>
      <c r="K2473" t="n">
        <v>0.3431620034966475</v>
      </c>
      <c r="L2473" t="b">
        <v>1</v>
      </c>
      <c r="M2473" t="b">
        <v>1</v>
      </c>
      <c r="N2473" t="inlineStr">
        <is>
          <t>ref</t>
        </is>
      </c>
      <c r="O2473" t="n">
        <v>95</v>
      </c>
      <c r="P2473" t="n">
        <v>0.01837</v>
      </c>
      <c r="Q2473" t="n">
        <v>85</v>
      </c>
      <c r="R2473" t="n">
        <v>0.1279</v>
      </c>
      <c r="S2473">
        <f>IMAGE("https://mitra.stanford.edu/kundaje/oak/projects/neuro-variants/variant_position/credible/roussos_2024/variant_figures/roussos_2024.childhood.GLU/rs7642870_count_position.png",4,220,900)</f>
        <v/>
      </c>
      <c r="T2473">
        <f>IMAGE("https://mitra.stanford.edu/kundaje/oak/projects/neuro-variants/variant_position/credible/roussos_2024/variant_figures/roussos_2024.childhood.GLU/rs7642870_profile_position.png",4,220,900)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0.041363499</v>
      </c>
      <c r="G2474" t="n">
        <v>0.2354818146688977</v>
      </c>
      <c r="H2474" t="n">
        <v>0.0168312092174287</v>
      </c>
      <c r="I2474" t="n">
        <v>0.174478466353464</v>
      </c>
      <c r="J2474" t="n">
        <v>0.0372299545674636</v>
      </c>
      <c r="K2474" t="n">
        <v>0.3944741258878604</v>
      </c>
      <c r="L2474" t="b">
        <v>0</v>
      </c>
      <c r="M2474" t="b">
        <v>0</v>
      </c>
      <c r="N2474" t="inlineStr">
        <is>
          <t>alt</t>
        </is>
      </c>
      <c r="O2474" t="n">
        <v>55</v>
      </c>
      <c r="P2474" t="n">
        <v>0.00641</v>
      </c>
      <c r="Q2474" t="n">
        <v>55</v>
      </c>
      <c r="R2474" t="n">
        <v>0.0818</v>
      </c>
      <c r="S2474">
        <f>IMAGE("https://mitra.stanford.edu/kundaje/oak/projects/neuro-variants/variant_position/credible/roussos_2024/variant_figures/roussos_2024.childhood.GLU/rs56345807_count_position.png",4,220,900)</f>
        <v/>
      </c>
      <c r="T2474">
        <f>IMAGE("https://mitra.stanford.edu/kundaje/oak/projects/neuro-variants/variant_position/credible/roussos_2024/variant_figures/roussos_2024.childhood.GLU/rs56345807_profile_position.png",4,220,900)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-0.0539057912</v>
      </c>
      <c r="G2475" t="n">
        <v>0.16190082125402</v>
      </c>
      <c r="H2475" t="n">
        <v>0.0122531301849026</v>
      </c>
      <c r="I2475" t="n">
        <v>0.4267936686056065</v>
      </c>
      <c r="J2475" t="n">
        <v>0.2206888025796614</v>
      </c>
      <c r="K2475" t="n">
        <v>0.1397230250879871</v>
      </c>
      <c r="L2475" t="b">
        <v>0</v>
      </c>
      <c r="M2475" t="b">
        <v>0</v>
      </c>
      <c r="N2475" t="inlineStr">
        <is>
          <t>ref</t>
        </is>
      </c>
      <c r="O2475" t="n">
        <v>80</v>
      </c>
      <c r="P2475" t="n">
        <v>0.0004996999999999999</v>
      </c>
      <c r="Q2475" t="n">
        <v>45</v>
      </c>
      <c r="R2475" t="n">
        <v>0.05725</v>
      </c>
      <c r="S2475">
        <f>IMAGE("https://mitra.stanford.edu/kundaje/oak/projects/neuro-variants/variant_position/credible/roussos_2024/variant_figures/roussos_2024.childhood.GLU/rs138823185_count_position.png",4,220,900)</f>
        <v/>
      </c>
      <c r="T2475">
        <f>IMAGE("https://mitra.stanford.edu/kundaje/oak/projects/neuro-variants/variant_position/credible/roussos_2024/variant_figures/roussos_2024.childhood.GLU/rs138823185_profile_position.png",4,220,900)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0.1377204448</v>
      </c>
      <c r="G2476" t="n">
        <v>0.0289551418190154</v>
      </c>
      <c r="H2476" t="n">
        <v>0.0177825023046697</v>
      </c>
      <c r="I2476" t="n">
        <v>0.1562449634384158</v>
      </c>
      <c r="J2476" t="n">
        <v>0.1123677459898832</v>
      </c>
      <c r="K2476" t="n">
        <v>0.2271619334852376</v>
      </c>
      <c r="L2476" t="b">
        <v>0</v>
      </c>
      <c r="M2476" t="b">
        <v>0</v>
      </c>
      <c r="N2476" t="inlineStr">
        <is>
          <t>alt</t>
        </is>
      </c>
      <c r="O2476" t="n">
        <v>100</v>
      </c>
      <c r="P2476" t="n">
        <v>0.003521</v>
      </c>
      <c r="Q2476" t="n">
        <v>50</v>
      </c>
      <c r="R2476" t="n">
        <v>0.01923</v>
      </c>
      <c r="S2476">
        <f>IMAGE("https://mitra.stanford.edu/kundaje/oak/projects/neuro-variants/variant_position/credible/roussos_2024/variant_figures/roussos_2024.childhood.GLU/rs9874028_count_position.png",4,220,900)</f>
        <v/>
      </c>
      <c r="T2476">
        <f>IMAGE("https://mitra.stanford.edu/kundaje/oak/projects/neuro-variants/variant_position/credible/roussos_2024/variant_figures/roussos_2024.childhood.GLU/rs9874028_profile_position.png",4,220,900)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0.03669718128</v>
      </c>
      <c r="G2477" t="n">
        <v>0.2633656647094018</v>
      </c>
      <c r="H2477" t="n">
        <v>0.0160412421246497</v>
      </c>
      <c r="I2477" t="n">
        <v>0.2091369039248265</v>
      </c>
      <c r="J2477" t="n">
        <v>0.1219827541801023</v>
      </c>
      <c r="K2477" t="n">
        <v>0.2261664986512692</v>
      </c>
      <c r="L2477" t="b">
        <v>0</v>
      </c>
      <c r="M2477" t="b">
        <v>0</v>
      </c>
      <c r="N2477" t="inlineStr">
        <is>
          <t>alt</t>
        </is>
      </c>
      <c r="O2477" t="n">
        <v>-95</v>
      </c>
      <c r="P2477" t="n">
        <v>0.001572</v>
      </c>
      <c r="Q2477" t="n">
        <v>-80</v>
      </c>
      <c r="R2477" t="n">
        <v>0.1279</v>
      </c>
      <c r="S2477">
        <f>IMAGE("https://mitra.stanford.edu/kundaje/oak/projects/neuro-variants/variant_position/credible/roussos_2024/variant_figures/roussos_2024.childhood.GLU/rs6787756_count_position.png",4,220,900)</f>
        <v/>
      </c>
      <c r="T2477">
        <f>IMAGE("https://mitra.stanford.edu/kundaje/oak/projects/neuro-variants/variant_position/credible/roussos_2024/variant_figures/roussos_2024.childhood.GLU/rs6787756_profile_position.png",4,220,900)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-0.120822984</v>
      </c>
      <c r="G2478" t="n">
        <v>0.0295185835090419</v>
      </c>
      <c r="H2478" t="n">
        <v>0.0299137790039169</v>
      </c>
      <c r="I2478" t="n">
        <v>0.0220560876348499</v>
      </c>
      <c r="J2478" t="n">
        <v>0.0172087321128704</v>
      </c>
      <c r="K2478" t="n">
        <v>0.5244374686955301</v>
      </c>
      <c r="L2478" t="b">
        <v>0</v>
      </c>
      <c r="M2478" t="b">
        <v>0</v>
      </c>
      <c r="N2478" t="inlineStr">
        <is>
          <t>ref</t>
        </is>
      </c>
      <c r="O2478" t="n">
        <v>-100</v>
      </c>
      <c r="P2478" t="n">
        <v>0.01747</v>
      </c>
      <c r="Q2478" t="n">
        <v>-100</v>
      </c>
      <c r="R2478" t="n">
        <v>0.08119999999999999</v>
      </c>
      <c r="S2478">
        <f>IMAGE("https://mitra.stanford.edu/kundaje/oak/projects/neuro-variants/variant_position/credible/roussos_2024/variant_figures/roussos_2024.childhood.GLU/rs9681617_count_position.png",4,220,900)</f>
        <v/>
      </c>
      <c r="T2478">
        <f>IMAGE("https://mitra.stanford.edu/kundaje/oak/projects/neuro-variants/variant_position/credible/roussos_2024/variant_figures/roussos_2024.childhood.GLU/rs9681617_profile_position.png",4,220,900)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-0.0579076538</v>
      </c>
      <c r="G2479" t="n">
        <v>0.1496118497354797</v>
      </c>
      <c r="H2479" t="n">
        <v>0.0213404223398706</v>
      </c>
      <c r="I2479" t="n">
        <v>0.0807016215419106</v>
      </c>
      <c r="J2479" t="n">
        <v>0.0162939000896287</v>
      </c>
      <c r="K2479" t="n">
        <v>0.5190326993323834</v>
      </c>
      <c r="L2479" t="b">
        <v>0</v>
      </c>
      <c r="M2479" t="b">
        <v>0</v>
      </c>
      <c r="N2479" t="inlineStr">
        <is>
          <t>ref</t>
        </is>
      </c>
      <c r="O2479" t="n">
        <v>-100</v>
      </c>
      <c r="P2479" t="n">
        <v>0.000885</v>
      </c>
      <c r="Q2479" t="n">
        <v>-100</v>
      </c>
      <c r="R2479" t="n">
        <v>0.03455</v>
      </c>
      <c r="S2479">
        <f>IMAGE("https://mitra.stanford.edu/kundaje/oak/projects/neuro-variants/variant_position/credible/roussos_2024/variant_figures/roussos_2024.childhood.GLU/rs55701200_count_position.png",4,220,900)</f>
        <v/>
      </c>
      <c r="T2479">
        <f>IMAGE("https://mitra.stanford.edu/kundaje/oak/projects/neuro-variants/variant_position/credible/roussos_2024/variant_figures/roussos_2024.childhood.GLU/rs55701200_profile_position.png",4,220,900)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0.0633571084</v>
      </c>
      <c r="G2480" t="n">
        <v>0.1206116655262503</v>
      </c>
      <c r="H2480" t="n">
        <v>0.0153295319071022</v>
      </c>
      <c r="I2480" t="n">
        <v>0.2344241045406224</v>
      </c>
      <c r="J2480" t="n">
        <v>0.0370599688874694</v>
      </c>
      <c r="K2480" t="n">
        <v>0.3987781668937573</v>
      </c>
      <c r="L2480" t="b">
        <v>0</v>
      </c>
      <c r="M2480" t="b">
        <v>0</v>
      </c>
      <c r="N2480" t="inlineStr">
        <is>
          <t>alt</t>
        </is>
      </c>
      <c r="O2480" t="n">
        <v>-80</v>
      </c>
      <c r="P2480" t="n">
        <v>0.01257</v>
      </c>
      <c r="Q2480" t="n">
        <v>90</v>
      </c>
      <c r="R2480" t="n">
        <v>0.0658</v>
      </c>
      <c r="S2480">
        <f>IMAGE("https://mitra.stanford.edu/kundaje/oak/projects/neuro-variants/variant_position/credible/roussos_2024/variant_figures/roussos_2024.childhood.GLU/rs11128837_count_position.png",4,220,900)</f>
        <v/>
      </c>
      <c r="T2480">
        <f>IMAGE("https://mitra.stanford.edu/kundaje/oak/projects/neuro-variants/variant_position/credible/roussos_2024/variant_figures/roussos_2024.childhood.GLU/rs11128837_profile_position.png",4,220,900)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-0.03195049864</v>
      </c>
      <c r="G2481" t="n">
        <v>0.3244026307387272</v>
      </c>
      <c r="H2481" t="n">
        <v>0.0101234046270249</v>
      </c>
      <c r="I2481" t="n">
        <v>0.6272781108577131</v>
      </c>
      <c r="J2481" t="n">
        <v>0.1110470087671401</v>
      </c>
      <c r="K2481" t="n">
        <v>0.2301846537159584</v>
      </c>
      <c r="L2481" t="b">
        <v>0</v>
      </c>
      <c r="M2481" t="b">
        <v>0</v>
      </c>
      <c r="N2481" t="inlineStr">
        <is>
          <t>ref</t>
        </is>
      </c>
      <c r="O2481" t="n">
        <v>95</v>
      </c>
      <c r="P2481" t="n">
        <v>0.02156</v>
      </c>
      <c r="Q2481" t="n">
        <v>-100</v>
      </c>
      <c r="R2481" t="n">
        <v>0.3318</v>
      </c>
      <c r="S2481">
        <f>IMAGE("https://mitra.stanford.edu/kundaje/oak/projects/neuro-variants/variant_position/credible/roussos_2024/variant_figures/roussos_2024.childhood.GLU/rs13083917_count_position.png",4,220,900)</f>
        <v/>
      </c>
      <c r="T2481">
        <f>IMAGE("https://mitra.stanford.edu/kundaje/oak/projects/neuro-variants/variant_position/credible/roussos_2024/variant_figures/roussos_2024.childhood.GLU/rs13083917_profile_position.png",4,220,900)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0.211526296</v>
      </c>
      <c r="G2482" t="n">
        <v>0.0062196143512991</v>
      </c>
      <c r="H2482" t="n">
        <v>0.0356459229628244</v>
      </c>
      <c r="I2482" t="n">
        <v>0.0110767785240915</v>
      </c>
      <c r="J2482" t="n">
        <v>0.153165339404741</v>
      </c>
      <c r="K2482" t="n">
        <v>0.1837466969350654</v>
      </c>
      <c r="L2482" t="b">
        <v>1</v>
      </c>
      <c r="M2482" t="b">
        <v>1</v>
      </c>
      <c r="N2482" t="inlineStr">
        <is>
          <t>alt</t>
        </is>
      </c>
      <c r="O2482" t="n">
        <v>-10</v>
      </c>
      <c r="P2482" t="n">
        <v>0.0006104</v>
      </c>
      <c r="Q2482" t="n">
        <v>45</v>
      </c>
      <c r="R2482" t="n">
        <v>0.04248</v>
      </c>
      <c r="S2482">
        <f>IMAGE("https://mitra.stanford.edu/kundaje/oak/projects/neuro-variants/variant_position/credible/roussos_2024/variant_figures/roussos_2024.childhood.GLU/rs4909009_count_position.png",4,220,900)</f>
        <v/>
      </c>
      <c r="T2482">
        <f>IMAGE("https://mitra.stanford.edu/kundaje/oak/projects/neuro-variants/variant_position/credible/roussos_2024/variant_figures/roussos_2024.childhood.GLU/rs4909009_profile_position.png",4,220,900)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0.0368065794</v>
      </c>
      <c r="G2483" t="n">
        <v>0.118565808878873</v>
      </c>
      <c r="H2483" t="n">
        <v>0.0379554619879887</v>
      </c>
      <c r="I2483" t="n">
        <v>0.0109988302560103</v>
      </c>
      <c r="J2483" t="n">
        <v>0.5187313917191219</v>
      </c>
      <c r="K2483" t="n">
        <v>0.0389540447869607</v>
      </c>
      <c r="L2483" t="b">
        <v>1</v>
      </c>
      <c r="M2483" t="b">
        <v>0</v>
      </c>
      <c r="N2483" t="inlineStr">
        <is>
          <t>alt</t>
        </is>
      </c>
      <c r="O2483" t="n">
        <v>-100</v>
      </c>
      <c r="P2483" t="n">
        <v>0.01695</v>
      </c>
      <c r="Q2483" t="n">
        <v>-100</v>
      </c>
      <c r="R2483" t="n">
        <v>0.2399</v>
      </c>
      <c r="S2483">
        <f>IMAGE("https://mitra.stanford.edu/kundaje/oak/projects/neuro-variants/variant_position/credible/roussos_2024/variant_figures/roussos_2024.childhood.GLU/rs6797952_count_position.png",4,220,900)</f>
        <v/>
      </c>
      <c r="T2483">
        <f>IMAGE("https://mitra.stanford.edu/kundaje/oak/projects/neuro-variants/variant_position/credible/roussos_2024/variant_figures/roussos_2024.childhood.GLU/rs6797952_profile_position.png",4,220,900)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0.06730711</v>
      </c>
      <c r="G2484" t="n">
        <v>0.1041406731605294</v>
      </c>
      <c r="H2484" t="n">
        <v>0.0166779121528759</v>
      </c>
      <c r="I2484" t="n">
        <v>0.1765003701833568</v>
      </c>
      <c r="J2484" t="n">
        <v>0.009040147526965799</v>
      </c>
      <c r="K2484" t="n">
        <v>0.6144249985544663</v>
      </c>
      <c r="L2484" t="b">
        <v>0</v>
      </c>
      <c r="M2484" t="b">
        <v>0</v>
      </c>
      <c r="N2484" t="inlineStr">
        <is>
          <t>alt</t>
        </is>
      </c>
      <c r="O2484" t="n">
        <v>-35</v>
      </c>
      <c r="P2484" t="n">
        <v>0.004837</v>
      </c>
      <c r="Q2484" t="n">
        <v>25</v>
      </c>
      <c r="R2484" t="n">
        <v>0.01245</v>
      </c>
      <c r="S2484">
        <f>IMAGE("https://mitra.stanford.edu/kundaje/oak/projects/neuro-variants/variant_position/credible/roussos_2024/variant_figures/roussos_2024.childhood.GLU/rs35642812_count_position.png",4,220,900)</f>
        <v/>
      </c>
      <c r="T2484">
        <f>IMAGE("https://mitra.stanford.edu/kundaje/oak/projects/neuro-variants/variant_position/credible/roussos_2024/variant_figures/roussos_2024.childhood.GLU/rs35642812_profile_position.png",4,220,900)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0.02695381286</v>
      </c>
      <c r="G2485" t="n">
        <v>0.3229619028585791</v>
      </c>
      <c r="H2485" t="n">
        <v>0.009618993322463401</v>
      </c>
      <c r="I2485" t="n">
        <v>0.709796363045459</v>
      </c>
      <c r="J2485" t="n">
        <v>0.1132506413096108</v>
      </c>
      <c r="K2485" t="n">
        <v>0.228908255089271</v>
      </c>
      <c r="L2485" t="b">
        <v>0</v>
      </c>
      <c r="M2485" t="b">
        <v>0</v>
      </c>
      <c r="N2485" t="inlineStr">
        <is>
          <t>alt</t>
        </is>
      </c>
      <c r="O2485" t="n">
        <v>-85</v>
      </c>
      <c r="P2485" t="n">
        <v>0.01079</v>
      </c>
      <c r="Q2485" t="n">
        <v>-85</v>
      </c>
      <c r="R2485" t="n">
        <v>0.1648</v>
      </c>
      <c r="S2485">
        <f>IMAGE("https://mitra.stanford.edu/kundaje/oak/projects/neuro-variants/variant_position/credible/roussos_2024/variant_figures/roussos_2024.childhood.GLU/rs6810235_count_position.png",4,220,900)</f>
        <v/>
      </c>
      <c r="T2485">
        <f>IMAGE("https://mitra.stanford.edu/kundaje/oak/projects/neuro-variants/variant_position/credible/roussos_2024/variant_figures/roussos_2024.childhood.GLU/rs6810235_profile_position.png",4,220,900)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-0.1982058179999999</v>
      </c>
      <c r="G2486" t="n">
        <v>0.0084566073788241</v>
      </c>
      <c r="H2486" t="n">
        <v>0.0334341103945107</v>
      </c>
      <c r="I2486" t="n">
        <v>0.0159960460814841</v>
      </c>
      <c r="J2486" t="n">
        <v>0.0118423357062647</v>
      </c>
      <c r="K2486" t="n">
        <v>0.5735467898264439</v>
      </c>
      <c r="L2486" t="b">
        <v>1</v>
      </c>
      <c r="M2486" t="b">
        <v>1</v>
      </c>
      <c r="N2486" t="inlineStr">
        <is>
          <t>ref</t>
        </is>
      </c>
      <c r="O2486" t="n">
        <v>-85</v>
      </c>
      <c r="P2486" t="n">
        <v>0.007538</v>
      </c>
      <c r="Q2486" t="n">
        <v>-45</v>
      </c>
      <c r="R2486" t="n">
        <v>0.0454</v>
      </c>
      <c r="S2486">
        <f>IMAGE("https://mitra.stanford.edu/kundaje/oak/projects/neuro-variants/variant_position/credible/roussos_2024/variant_figures/roussos_2024.childhood.GLU/rs13071934_count_position.png",4,220,900)</f>
        <v/>
      </c>
      <c r="T2486">
        <f>IMAGE("https://mitra.stanford.edu/kundaje/oak/projects/neuro-variants/variant_position/credible/roussos_2024/variant_figures/roussos_2024.childhood.GLU/rs13071934_profile_position.png",4,220,900)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0.0342974218</v>
      </c>
      <c r="G2487" t="n">
        <v>0.2879214272897087</v>
      </c>
      <c r="H2487" t="n">
        <v>0.0094150893085147</v>
      </c>
      <c r="I2487" t="n">
        <v>0.7251107527803899</v>
      </c>
      <c r="J2487" t="n">
        <v>0.050746391667611</v>
      </c>
      <c r="K2487" t="n">
        <v>0.3535342922150175</v>
      </c>
      <c r="L2487" t="b">
        <v>0</v>
      </c>
      <c r="M2487" t="b">
        <v>0</v>
      </c>
      <c r="N2487" t="inlineStr">
        <is>
          <t>alt</t>
        </is>
      </c>
      <c r="O2487" t="n">
        <v>-95</v>
      </c>
      <c r="P2487" t="n">
        <v>0.008160000000000001</v>
      </c>
      <c r="Q2487" t="n">
        <v>100</v>
      </c>
      <c r="R2487" t="n">
        <v>0.0863</v>
      </c>
      <c r="S2487">
        <f>IMAGE("https://mitra.stanford.edu/kundaje/oak/projects/neuro-variants/variant_position/credible/roussos_2024/variant_figures/roussos_2024.childhood.GLU/rs9880456_count_position.png",4,220,900)</f>
        <v/>
      </c>
      <c r="T2487">
        <f>IMAGE("https://mitra.stanford.edu/kundaje/oak/projects/neuro-variants/variant_position/credible/roussos_2024/variant_figures/roussos_2024.childhood.GLU/rs9880456_profile_position.png",4,220,900)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0.0268098666</v>
      </c>
      <c r="G2488" t="n">
        <v>0.3605751791617962</v>
      </c>
      <c r="H2488" t="n">
        <v>0.0121730019733253</v>
      </c>
      <c r="I2488" t="n">
        <v>0.4362474070584393</v>
      </c>
      <c r="J2488" t="n">
        <v>0.0168976068076689</v>
      </c>
      <c r="K2488" t="n">
        <v>0.5400823887784298</v>
      </c>
      <c r="L2488" t="b">
        <v>0</v>
      </c>
      <c r="M2488" t="b">
        <v>0</v>
      </c>
      <c r="N2488" t="inlineStr">
        <is>
          <t>alt</t>
        </is>
      </c>
      <c r="O2488" t="n">
        <v>100</v>
      </c>
      <c r="P2488" t="n">
        <v>0.01614</v>
      </c>
      <c r="Q2488" t="n">
        <v>100</v>
      </c>
      <c r="R2488" t="n">
        <v>0.07920000000000001</v>
      </c>
      <c r="S2488">
        <f>IMAGE("https://mitra.stanford.edu/kundaje/oak/projects/neuro-variants/variant_position/credible/roussos_2024/variant_figures/roussos_2024.childhood.GLU/rs4566568_count_position.png",4,220,900)</f>
        <v/>
      </c>
      <c r="T2488">
        <f>IMAGE("https://mitra.stanford.edu/kundaje/oak/projects/neuro-variants/variant_position/credible/roussos_2024/variant_figures/roussos_2024.childhood.GLU/rs4566568_profile_position.png",4,220,900)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0.0371066444</v>
      </c>
      <c r="G2489" t="n">
        <v>0.2641879576311299</v>
      </c>
      <c r="H2489" t="n">
        <v>0.0090487859724846</v>
      </c>
      <c r="I2489" t="n">
        <v>0.7650883074673462</v>
      </c>
      <c r="J2489" t="n">
        <v>0.0486066325321684</v>
      </c>
      <c r="K2489" t="n">
        <v>0.3633286088380357</v>
      </c>
      <c r="L2489" t="b">
        <v>0</v>
      </c>
      <c r="M2489" t="b">
        <v>0</v>
      </c>
      <c r="N2489" t="inlineStr">
        <is>
          <t>alt</t>
        </is>
      </c>
      <c r="O2489" t="n">
        <v>-95</v>
      </c>
      <c r="P2489" t="n">
        <v>0.003859</v>
      </c>
      <c r="Q2489" t="n">
        <v>35</v>
      </c>
      <c r="R2489" t="n">
        <v>0.01959</v>
      </c>
      <c r="S2489">
        <f>IMAGE("https://mitra.stanford.edu/kundaje/oak/projects/neuro-variants/variant_position/credible/roussos_2024/variant_figures/roussos_2024.childhood.GLU/rs7609916_count_position.png",4,220,900)</f>
        <v/>
      </c>
      <c r="T2489">
        <f>IMAGE("https://mitra.stanford.edu/kundaje/oak/projects/neuro-variants/variant_position/credible/roussos_2024/variant_figures/roussos_2024.childhood.GLU/rs7609916_profile_position.png",4,220,900)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0.013413132</v>
      </c>
      <c r="G2490" t="n">
        <v>0.5630583883715571</v>
      </c>
      <c r="H2490" t="n">
        <v>0.0149187622756374</v>
      </c>
      <c r="I2490" t="n">
        <v>0.2511332978605048</v>
      </c>
      <c r="J2490" t="n">
        <v>0.00325548332595</v>
      </c>
      <c r="K2490" t="n">
        <v>0.7287387361977564</v>
      </c>
      <c r="L2490" t="b">
        <v>0</v>
      </c>
      <c r="M2490" t="b">
        <v>0</v>
      </c>
      <c r="N2490" t="inlineStr">
        <is>
          <t>alt</t>
        </is>
      </c>
      <c r="O2490" t="n">
        <v>15</v>
      </c>
      <c r="P2490" t="n">
        <v>0.001362</v>
      </c>
      <c r="Q2490" t="n">
        <v>-100</v>
      </c>
      <c r="R2490" t="n">
        <v>0.09229999999999999</v>
      </c>
      <c r="S2490">
        <f>IMAGE("https://mitra.stanford.edu/kundaje/oak/projects/neuro-variants/variant_position/credible/roussos_2024/variant_figures/roussos_2024.childhood.GLU/rs11709790_count_position.png",4,220,900)</f>
        <v/>
      </c>
      <c r="T2490">
        <f>IMAGE("https://mitra.stanford.edu/kundaje/oak/projects/neuro-variants/variant_position/credible/roussos_2024/variant_figures/roussos_2024.childhood.GLU/rs11709790_profile_position.png",4,220,900)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0.1158957608</v>
      </c>
      <c r="G2491" t="n">
        <v>0.0323787004405627</v>
      </c>
      <c r="H2491" t="n">
        <v>0.0135352011229044</v>
      </c>
      <c r="I2491" t="n">
        <v>0.3290791582411728</v>
      </c>
      <c r="J2491" t="n">
        <v>0.0341351849753262</v>
      </c>
      <c r="K2491" t="n">
        <v>0.4395233668093239</v>
      </c>
      <c r="L2491" t="b">
        <v>0</v>
      </c>
      <c r="M2491" t="b">
        <v>0</v>
      </c>
      <c r="N2491" t="inlineStr">
        <is>
          <t>alt</t>
        </is>
      </c>
      <c r="O2491" t="n">
        <v>-35</v>
      </c>
      <c r="P2491" t="n">
        <v>0.000572</v>
      </c>
      <c r="Q2491" t="n">
        <v>100</v>
      </c>
      <c r="R2491" t="n">
        <v>0.09717000000000001</v>
      </c>
      <c r="S2491">
        <f>IMAGE("https://mitra.stanford.edu/kundaje/oak/projects/neuro-variants/variant_position/credible/roussos_2024/variant_figures/roussos_2024.childhood.GLU/rs4616675_count_position.png",4,220,900)</f>
        <v/>
      </c>
      <c r="T2491">
        <f>IMAGE("https://mitra.stanford.edu/kundaje/oak/projects/neuro-variants/variant_position/credible/roussos_2024/variant_figures/roussos_2024.childhood.GLU/rs4616675_profile_position.png",4,220,900)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-0.0635942956</v>
      </c>
      <c r="G2492" t="n">
        <v>0.120473072234518</v>
      </c>
      <c r="H2492" t="n">
        <v>0.0099740977778097</v>
      </c>
      <c r="I2492" t="n">
        <v>0.6604502738791314</v>
      </c>
      <c r="J2492" t="n">
        <v>0.0484469490145981</v>
      </c>
      <c r="K2492" t="n">
        <v>0.3592551320732143</v>
      </c>
      <c r="L2492" t="b">
        <v>0</v>
      </c>
      <c r="M2492" t="b">
        <v>0</v>
      </c>
      <c r="N2492" t="inlineStr">
        <is>
          <t>ref</t>
        </is>
      </c>
      <c r="O2492" t="n">
        <v>-100</v>
      </c>
      <c r="P2492" t="n">
        <v>0.001646</v>
      </c>
      <c r="Q2492" t="n">
        <v>100</v>
      </c>
      <c r="R2492" t="n">
        <v>0.10187</v>
      </c>
      <c r="S2492">
        <f>IMAGE("https://mitra.stanford.edu/kundaje/oak/projects/neuro-variants/variant_position/credible/roussos_2024/variant_figures/roussos_2024.childhood.GLU/rs17200916_count_position.png",4,220,900)</f>
        <v/>
      </c>
      <c r="T2492">
        <f>IMAGE("https://mitra.stanford.edu/kundaje/oak/projects/neuro-variants/variant_position/credible/roussos_2024/variant_figures/roussos_2024.childhood.GLU/rs17200916_profile_position.png",4,220,900)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-0.0739890843999999</v>
      </c>
      <c r="G2493" t="n">
        <v>0.0946978111857049</v>
      </c>
      <c r="H2493" t="n">
        <v>0.0161075783002351</v>
      </c>
      <c r="I2493" t="n">
        <v>0.1994527716209773</v>
      </c>
      <c r="J2493" t="n">
        <v>0.0175342804454654</v>
      </c>
      <c r="K2493" t="n">
        <v>0.5077226629808321</v>
      </c>
      <c r="L2493" t="b">
        <v>0</v>
      </c>
      <c r="M2493" t="b">
        <v>0</v>
      </c>
      <c r="N2493" t="inlineStr">
        <is>
          <t>ref</t>
        </is>
      </c>
      <c r="O2493" t="n">
        <v>45</v>
      </c>
      <c r="P2493" t="n">
        <v>0.03088</v>
      </c>
      <c r="Q2493" t="n">
        <v>90</v>
      </c>
      <c r="R2493" t="n">
        <v>0.1631</v>
      </c>
      <c r="S2493">
        <f>IMAGE("https://mitra.stanford.edu/kundaje/oak/projects/neuro-variants/variant_position/credible/roussos_2024/variant_figures/roussos_2024.childhood.GLU/rs11128871_count_position.png",4,220,900)</f>
        <v/>
      </c>
      <c r="T2493">
        <f>IMAGE("https://mitra.stanford.edu/kundaje/oak/projects/neuro-variants/variant_position/credible/roussos_2024/variant_figures/roussos_2024.childhood.GLU/rs11128871_profile_position.png",4,220,900)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-0.01356367086</v>
      </c>
      <c r="G2494" t="n">
        <v>0.579448112014729</v>
      </c>
      <c r="H2494" t="n">
        <v>0.0067881904783091</v>
      </c>
      <c r="I2494" t="n">
        <v>0.9553260405506928</v>
      </c>
      <c r="J2494" t="n">
        <v>0.0085281300544983</v>
      </c>
      <c r="K2494" t="n">
        <v>0.6101427634357743</v>
      </c>
      <c r="L2494" t="b">
        <v>0</v>
      </c>
      <c r="M2494" t="b">
        <v>0</v>
      </c>
      <c r="N2494" t="inlineStr">
        <is>
          <t>ref</t>
        </is>
      </c>
      <c r="O2494" t="n">
        <v>-100</v>
      </c>
      <c r="P2494" t="n">
        <v>0.008125</v>
      </c>
      <c r="Q2494" t="n">
        <v>-100</v>
      </c>
      <c r="R2494" t="n">
        <v>0.1285</v>
      </c>
      <c r="S2494">
        <f>IMAGE("https://mitra.stanford.edu/kundaje/oak/projects/neuro-variants/variant_position/credible/roussos_2024/variant_figures/roussos_2024.childhood.GLU/rs12495352_count_position.png",4,220,900)</f>
        <v/>
      </c>
      <c r="T2494">
        <f>IMAGE("https://mitra.stanford.edu/kundaje/oak/projects/neuro-variants/variant_position/credible/roussos_2024/variant_figures/roussos_2024.childhood.GLU/rs12495352_profile_position.png",4,220,900)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-0.0098593121</v>
      </c>
      <c r="G2495" t="n">
        <v>0.5899848139281563</v>
      </c>
      <c r="H2495" t="n">
        <v>0.0164391947357136</v>
      </c>
      <c r="I2495" t="n">
        <v>0.1884838716239123</v>
      </c>
      <c r="J2495" t="n">
        <v>0.0391193711560055</v>
      </c>
      <c r="K2495" t="n">
        <v>0.3928644216189462</v>
      </c>
      <c r="L2495" t="b">
        <v>0</v>
      </c>
      <c r="M2495" t="b">
        <v>0</v>
      </c>
      <c r="N2495" t="inlineStr">
        <is>
          <t>ref</t>
        </is>
      </c>
      <c r="O2495" t="n">
        <v>10</v>
      </c>
      <c r="P2495" t="n">
        <v>0.001282</v>
      </c>
      <c r="Q2495" t="n">
        <v>100</v>
      </c>
      <c r="R2495" t="n">
        <v>0.06067</v>
      </c>
      <c r="S2495">
        <f>IMAGE("https://mitra.stanford.edu/kundaje/oak/projects/neuro-variants/variant_position/credible/roussos_2024/variant_figures/roussos_2024.childhood.GLU/rs6771673_count_position.png",4,220,900)</f>
        <v/>
      </c>
      <c r="T2495">
        <f>IMAGE("https://mitra.stanford.edu/kundaje/oak/projects/neuro-variants/variant_position/credible/roussos_2024/variant_figures/roussos_2024.childhood.GLU/rs6771673_profile_position.png",4,220,900)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-0.1162670112</v>
      </c>
      <c r="G2496" t="n">
        <v>0.0363312086963773</v>
      </c>
      <c r="H2496" t="n">
        <v>0.0291723798247177</v>
      </c>
      <c r="I2496" t="n">
        <v>0.0297606380144944</v>
      </c>
      <c r="J2496" t="n">
        <v>0.0734111490001751</v>
      </c>
      <c r="K2496" t="n">
        <v>0.2960555456960127</v>
      </c>
      <c r="L2496" t="b">
        <v>0</v>
      </c>
      <c r="M2496" t="b">
        <v>0</v>
      </c>
      <c r="N2496" t="inlineStr">
        <is>
          <t>ref</t>
        </is>
      </c>
      <c r="O2496" t="n">
        <v>70</v>
      </c>
      <c r="P2496" t="n">
        <v>0.04822</v>
      </c>
      <c r="Q2496" t="n">
        <v>-65</v>
      </c>
      <c r="R2496" t="n">
        <v>0.04926</v>
      </c>
      <c r="S2496">
        <f>IMAGE("https://mitra.stanford.edu/kundaje/oak/projects/neuro-variants/variant_position/credible/roussos_2024/variant_figures/roussos_2024.childhood.GLU/rs4908979_count_position.png",4,220,900)</f>
        <v/>
      </c>
      <c r="T2496">
        <f>IMAGE("https://mitra.stanford.edu/kundaje/oak/projects/neuro-variants/variant_position/credible/roussos_2024/variant_figures/roussos_2024.childhood.GLU/rs4908979_profile_position.png",4,220,900)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0.1117525276</v>
      </c>
      <c r="G2497" t="n">
        <v>0.0411158169935772</v>
      </c>
      <c r="H2497" t="n">
        <v>0.0219976135017052</v>
      </c>
      <c r="I2497" t="n">
        <v>0.07677544225649351</v>
      </c>
      <c r="J2497" t="n">
        <v>0.0358288604778142</v>
      </c>
      <c r="K2497" t="n">
        <v>0.4276113418344834</v>
      </c>
      <c r="L2497" t="b">
        <v>0</v>
      </c>
      <c r="M2497" t="b">
        <v>0</v>
      </c>
      <c r="N2497" t="inlineStr">
        <is>
          <t>alt</t>
        </is>
      </c>
      <c r="O2497" t="n">
        <v>40</v>
      </c>
      <c r="P2497" t="n">
        <v>0.0018425</v>
      </c>
      <c r="Q2497" t="n">
        <v>-75</v>
      </c>
      <c r="R2497" t="n">
        <v>0.1272</v>
      </c>
      <c r="S2497">
        <f>IMAGE("https://mitra.stanford.edu/kundaje/oak/projects/neuro-variants/variant_position/credible/roussos_2024/variant_figures/roussos_2024.childhood.GLU/rs2033373_count_position.png",4,220,900)</f>
        <v/>
      </c>
      <c r="T2497">
        <f>IMAGE("https://mitra.stanford.edu/kundaje/oak/projects/neuro-variants/variant_position/credible/roussos_2024/variant_figures/roussos_2024.childhood.GLU/rs2033373_profile_position.png",4,220,900)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-0.0402350214</v>
      </c>
      <c r="G2498" t="n">
        <v>0.2536763882220856</v>
      </c>
      <c r="H2498" t="n">
        <v>0.0136414035419369</v>
      </c>
      <c r="I2498" t="n">
        <v>0.3293450053068857</v>
      </c>
      <c r="J2498" t="n">
        <v>0.0135916428858416</v>
      </c>
      <c r="K2498" t="n">
        <v>0.5493118215996848</v>
      </c>
      <c r="L2498" t="b">
        <v>0</v>
      </c>
      <c r="M2498" t="b">
        <v>0</v>
      </c>
      <c r="N2498" t="inlineStr">
        <is>
          <t>ref</t>
        </is>
      </c>
      <c r="O2498" t="n">
        <v>25</v>
      </c>
      <c r="P2498" t="n">
        <v>0.002716</v>
      </c>
      <c r="Q2498" t="n">
        <v>-20</v>
      </c>
      <c r="R2498" t="n">
        <v>0.07006999999999999</v>
      </c>
      <c r="S2498">
        <f>IMAGE("https://mitra.stanford.edu/kundaje/oak/projects/neuro-variants/variant_position/credible/roussos_2024/variant_figures/roussos_2024.childhood.GLU/rs7638304_count_position.png",4,220,900)</f>
        <v/>
      </c>
      <c r="T2498">
        <f>IMAGE("https://mitra.stanford.edu/kundaje/oak/projects/neuro-variants/variant_position/credible/roussos_2024/variant_figures/roussos_2024.childhood.GLU/rs7638304_profile_position.png",4,220,900)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0.0271614442</v>
      </c>
      <c r="G2499" t="n">
        <v>0.3690356420845645</v>
      </c>
      <c r="H2499" t="n">
        <v>0.0205013103484505</v>
      </c>
      <c r="I2499" t="n">
        <v>0.0918612007941844</v>
      </c>
      <c r="J2499" t="n">
        <v>0.0035377625763647</v>
      </c>
      <c r="K2499" t="n">
        <v>0.70716631319312</v>
      </c>
      <c r="L2499" t="b">
        <v>0</v>
      </c>
      <c r="M2499" t="b">
        <v>0</v>
      </c>
      <c r="N2499" t="inlineStr">
        <is>
          <t>alt</t>
        </is>
      </c>
      <c r="O2499" t="n">
        <v>65</v>
      </c>
      <c r="P2499" t="n">
        <v>0.008606000000000001</v>
      </c>
      <c r="Q2499" t="n">
        <v>-50</v>
      </c>
      <c r="R2499" t="n">
        <v>0.0935</v>
      </c>
      <c r="S2499">
        <f>IMAGE("https://mitra.stanford.edu/kundaje/oak/projects/neuro-variants/variant_position/credible/roussos_2024/variant_figures/roussos_2024.childhood.GLU/rs6781559_count_position.png",4,220,900)</f>
        <v/>
      </c>
      <c r="T2499">
        <f>IMAGE("https://mitra.stanford.edu/kundaje/oak/projects/neuro-variants/variant_position/credible/roussos_2024/variant_figures/roussos_2024.childhood.GLU/rs6781559_profile_position.png",4,220,900)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0.12393185</v>
      </c>
      <c r="G2500" t="n">
        <v>0.0261957436452371</v>
      </c>
      <c r="H2500" t="n">
        <v>0.0228758948228128</v>
      </c>
      <c r="I2500" t="n">
        <v>0.0629758779170432</v>
      </c>
      <c r="J2500" t="n">
        <v>0.08670608960820871</v>
      </c>
      <c r="K2500" t="n">
        <v>0.2666600958347288</v>
      </c>
      <c r="L2500" t="b">
        <v>0</v>
      </c>
      <c r="M2500" t="b">
        <v>0</v>
      </c>
      <c r="N2500" t="inlineStr">
        <is>
          <t>alt</t>
        </is>
      </c>
      <c r="O2500" t="n">
        <v>-35</v>
      </c>
      <c r="P2500" t="n">
        <v>0.00241</v>
      </c>
      <c r="Q2500" t="n">
        <v>-40</v>
      </c>
      <c r="R2500" t="n">
        <v>0.0653</v>
      </c>
      <c r="S2500">
        <f>IMAGE("https://mitra.stanford.edu/kundaje/oak/projects/neuro-variants/variant_position/credible/roussos_2024/variant_figures/roussos_2024.childhood.GLU/rs58274299_count_position.png",4,220,900)</f>
        <v/>
      </c>
      <c r="T2500">
        <f>IMAGE("https://mitra.stanford.edu/kundaje/oak/projects/neuro-variants/variant_position/credible/roussos_2024/variant_figures/roussos_2024.childhood.GLU/rs58274299_profile_position.png",4,220,900)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-0.0454084782</v>
      </c>
      <c r="G2501" t="n">
        <v>0.2085136490503571</v>
      </c>
      <c r="H2501" t="n">
        <v>0.0136012567851924</v>
      </c>
      <c r="I2501" t="n">
        <v>0.3318101656806531</v>
      </c>
      <c r="J2501" t="n">
        <v>0.0093244872098653</v>
      </c>
      <c r="K2501" t="n">
        <v>0.6028631567672671</v>
      </c>
      <c r="L2501" t="b">
        <v>0</v>
      </c>
      <c r="M2501" t="b">
        <v>0</v>
      </c>
      <c r="N2501" t="inlineStr">
        <is>
          <t>ref</t>
        </is>
      </c>
      <c r="O2501" t="n">
        <v>100</v>
      </c>
      <c r="P2501" t="n">
        <v>0.003845</v>
      </c>
      <c r="Q2501" t="n">
        <v>-95</v>
      </c>
      <c r="R2501" t="n">
        <v>0.248</v>
      </c>
      <c r="S2501">
        <f>IMAGE("https://mitra.stanford.edu/kundaje/oak/projects/neuro-variants/variant_position/credible/roussos_2024/variant_figures/roussos_2024.childhood.GLU/rs78158283_count_position.png",4,220,900)</f>
        <v/>
      </c>
      <c r="T2501">
        <f>IMAGE("https://mitra.stanford.edu/kundaje/oak/projects/neuro-variants/variant_position/credible/roussos_2024/variant_figures/roussos_2024.childhood.GLU/rs78158283_profile_position.png",4,220,900)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-0.306015878</v>
      </c>
      <c r="G2502" t="n">
        <v>0.001924365443624</v>
      </c>
      <c r="H2502" t="n">
        <v>0.0480702780965582</v>
      </c>
      <c r="I2502" t="n">
        <v>0.0033565258033055</v>
      </c>
      <c r="J2502" t="n">
        <v>0.0344195246582257</v>
      </c>
      <c r="K2502" t="n">
        <v>0.4223387398125812</v>
      </c>
      <c r="L2502" t="b">
        <v>1</v>
      </c>
      <c r="M2502" t="b">
        <v>1</v>
      </c>
      <c r="N2502" t="inlineStr">
        <is>
          <t>ref</t>
        </is>
      </c>
      <c r="O2502" t="n">
        <v>35</v>
      </c>
      <c r="P2502" t="n">
        <v>0.006134</v>
      </c>
      <c r="Q2502" t="n">
        <v>-20</v>
      </c>
      <c r="R2502" t="n">
        <v>0.05493</v>
      </c>
      <c r="S2502">
        <f>IMAGE("https://mitra.stanford.edu/kundaje/oak/projects/neuro-variants/variant_position/credible/roussos_2024/variant_figures/roussos_2024.childhood.GLU/rs77704657_count_position.png",4,220,900)</f>
        <v/>
      </c>
      <c r="T2502">
        <f>IMAGE("https://mitra.stanford.edu/kundaje/oak/projects/neuro-variants/variant_position/credible/roussos_2024/variant_figures/roussos_2024.childhood.GLU/rs77704657_profile_position.png",4,220,900)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-0.002074200974</v>
      </c>
      <c r="G2503" t="n">
        <v>0.913394591013773</v>
      </c>
      <c r="H2503" t="n">
        <v>0.0070404992966005</v>
      </c>
      <c r="I2503" t="n">
        <v>0.9433717941644184</v>
      </c>
      <c r="J2503" t="n">
        <v>0.0002029525997506</v>
      </c>
      <c r="K2503" t="n">
        <v>0.9158990925660676</v>
      </c>
      <c r="L2503" t="b">
        <v>0</v>
      </c>
      <c r="M2503" t="b">
        <v>0</v>
      </c>
      <c r="N2503" t="inlineStr">
        <is>
          <t>ref</t>
        </is>
      </c>
      <c r="O2503" t="n">
        <v>90</v>
      </c>
      <c r="P2503" t="n">
        <v>0.00801</v>
      </c>
      <c r="Q2503" t="n">
        <v>-30</v>
      </c>
      <c r="R2503" t="n">
        <v>0.02332</v>
      </c>
      <c r="S2503">
        <f>IMAGE("https://mitra.stanford.edu/kundaje/oak/projects/neuro-variants/variant_position/credible/roussos_2024/variant_figures/roussos_2024.childhood.GLU/rs2362188_count_position.png",4,220,900)</f>
        <v/>
      </c>
      <c r="T2503">
        <f>IMAGE("https://mitra.stanford.edu/kundaje/oak/projects/neuro-variants/variant_position/credible/roussos_2024/variant_figures/roussos_2024.childhood.GLU/rs2362188_profile_position.png",4,220,900)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0.075778465</v>
      </c>
      <c r="G2504" t="n">
        <v>0.0864396687073212</v>
      </c>
      <c r="H2504" t="n">
        <v>0.0238447116260868</v>
      </c>
      <c r="I2504" t="n">
        <v>0.0552214958465756</v>
      </c>
      <c r="J2504" t="n">
        <v>0.3688771673174199</v>
      </c>
      <c r="K2504" t="n">
        <v>0.0724123242325799</v>
      </c>
      <c r="L2504" t="b">
        <v>0</v>
      </c>
      <c r="M2504" t="b">
        <v>0</v>
      </c>
      <c r="N2504" t="inlineStr">
        <is>
          <t>alt</t>
        </is>
      </c>
      <c r="O2504" t="n">
        <v>-15</v>
      </c>
      <c r="P2504" t="n">
        <v>0.0008545</v>
      </c>
      <c r="Q2504" t="n">
        <v>100</v>
      </c>
      <c r="R2504" t="n">
        <v>0.08400000000000001</v>
      </c>
      <c r="S2504">
        <f>IMAGE("https://mitra.stanford.edu/kundaje/oak/projects/neuro-variants/variant_position/credible/roussos_2024/variant_figures/roussos_2024.childhood.GLU/rs79369190_count_position.png",4,220,900)</f>
        <v/>
      </c>
      <c r="T2504">
        <f>IMAGE("https://mitra.stanford.edu/kundaje/oak/projects/neuro-variants/variant_position/credible/roussos_2024/variant_figures/roussos_2024.childhood.GLU/rs79369190_profile_position.png",4,220,900)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0.0003584191999999</v>
      </c>
      <c r="G2505" t="n">
        <v>0.552532124129409</v>
      </c>
      <c r="H2505" t="n">
        <v>0.015252179881237</v>
      </c>
      <c r="I2505" t="n">
        <v>0.245078429981547</v>
      </c>
      <c r="J2505" t="n">
        <v>0.000892167265909</v>
      </c>
      <c r="K2505" t="n">
        <v>0.8319061762610046</v>
      </c>
      <c r="L2505" t="b">
        <v>0</v>
      </c>
      <c r="M2505" t="b">
        <v>0</v>
      </c>
      <c r="N2505" t="inlineStr">
        <is>
          <t>alt</t>
        </is>
      </c>
      <c r="O2505" t="n">
        <v>-60</v>
      </c>
      <c r="P2505" t="n">
        <v>0.003815</v>
      </c>
      <c r="Q2505" t="n">
        <v>100</v>
      </c>
      <c r="R2505" t="n">
        <v>0.1066</v>
      </c>
      <c r="S2505">
        <f>IMAGE("https://mitra.stanford.edu/kundaje/oak/projects/neuro-variants/variant_position/credible/roussos_2024/variant_figures/roussos_2024.childhood.GLU/rs1440502_count_position.png",4,220,900)</f>
        <v/>
      </c>
      <c r="T2505">
        <f>IMAGE("https://mitra.stanford.edu/kundaje/oak/projects/neuro-variants/variant_position/credible/roussos_2024/variant_figures/roussos_2024.childhood.GLU/rs1440502_profile_position.png",4,220,900)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0.08973624299999999</v>
      </c>
      <c r="G2506" t="n">
        <v>0.0550021385048509</v>
      </c>
      <c r="H2506" t="n">
        <v>0.0131978789995458</v>
      </c>
      <c r="I2506" t="n">
        <v>0.3504608815758409</v>
      </c>
      <c r="J2506" t="n">
        <v>0.1946696611618779</v>
      </c>
      <c r="K2506" t="n">
        <v>0.1507009986268198</v>
      </c>
      <c r="L2506" t="b">
        <v>0</v>
      </c>
      <c r="M2506" t="b">
        <v>0</v>
      </c>
      <c r="N2506" t="inlineStr">
        <is>
          <t>alt</t>
        </is>
      </c>
      <c r="O2506" t="n">
        <v>-100</v>
      </c>
      <c r="P2506" t="n">
        <v>0.02972</v>
      </c>
      <c r="Q2506" t="n">
        <v>-50</v>
      </c>
      <c r="R2506" t="n">
        <v>0.06383999999999999</v>
      </c>
      <c r="S2506">
        <f>IMAGE("https://mitra.stanford.edu/kundaje/oak/projects/neuro-variants/variant_position/credible/roussos_2024/variant_figures/roussos_2024.childhood.GLU/rs7634119_count_position.png",4,220,900)</f>
        <v/>
      </c>
      <c r="T2506">
        <f>IMAGE("https://mitra.stanford.edu/kundaje/oak/projects/neuro-variants/variant_position/credible/roussos_2024/variant_figures/roussos_2024.childhood.GLU/rs7634119_profile_position.png",4,220,900)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-0.0051887823999999</v>
      </c>
      <c r="G2507" t="n">
        <v>0.5953123114107248</v>
      </c>
      <c r="H2507" t="n">
        <v>0.0105065482097659</v>
      </c>
      <c r="I2507" t="n">
        <v>0.5962364137804411</v>
      </c>
      <c r="J2507" t="n">
        <v>0.0762380623692912</v>
      </c>
      <c r="K2507" t="n">
        <v>0.3016862116528773</v>
      </c>
      <c r="L2507" t="b">
        <v>0</v>
      </c>
      <c r="M2507" t="b">
        <v>0</v>
      </c>
      <c r="N2507" t="inlineStr">
        <is>
          <t>ref</t>
        </is>
      </c>
      <c r="O2507" t="n">
        <v>-90</v>
      </c>
      <c r="P2507" t="n">
        <v>0.002079</v>
      </c>
      <c r="Q2507" t="n">
        <v>80</v>
      </c>
      <c r="R2507" t="n">
        <v>0.1587</v>
      </c>
      <c r="S2507">
        <f>IMAGE("https://mitra.stanford.edu/kundaje/oak/projects/neuro-variants/variant_position/credible/roussos_2024/variant_figures/roussos_2024.childhood.GLU/rs140030786_count_position.png",4,220,900)</f>
        <v/>
      </c>
      <c r="T2507">
        <f>IMAGE("https://mitra.stanford.edu/kundaje/oak/projects/neuro-variants/variant_position/credible/roussos_2024/variant_figures/roussos_2024.childhood.GLU/rs140030786_profile_position.png",4,220,900)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-0.008077710700000001</v>
      </c>
      <c r="G2508" t="n">
        <v>0.6426676433069785</v>
      </c>
      <c r="H2508" t="n">
        <v>0.009227691222361299</v>
      </c>
      <c r="I2508" t="n">
        <v>0.7378895123437869</v>
      </c>
      <c r="J2508" t="n">
        <v>0.0110840965518661</v>
      </c>
      <c r="K2508" t="n">
        <v>0.5709531027854019</v>
      </c>
      <c r="L2508" t="b">
        <v>0</v>
      </c>
      <c r="M2508" t="b">
        <v>0</v>
      </c>
      <c r="N2508" t="inlineStr">
        <is>
          <t>ref</t>
        </is>
      </c>
      <c r="O2508" t="n">
        <v>10</v>
      </c>
      <c r="P2508" t="n">
        <v>0.00119</v>
      </c>
      <c r="Q2508" t="n">
        <v>10</v>
      </c>
      <c r="R2508" t="n">
        <v>0.01428</v>
      </c>
      <c r="S2508">
        <f>IMAGE("https://mitra.stanford.edu/kundaje/oak/projects/neuro-variants/variant_position/credible/roussos_2024/variant_figures/roussos_2024.childhood.GLU/rs7632532_count_position.png",4,220,900)</f>
        <v/>
      </c>
      <c r="T2508">
        <f>IMAGE("https://mitra.stanford.edu/kundaje/oak/projects/neuro-variants/variant_position/credible/roussos_2024/variant_figures/roussos_2024.childhood.GLU/rs7632532_profile_position.png",4,220,900)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-0.144843556</v>
      </c>
      <c r="G2509" t="n">
        <v>0.0200953769335027</v>
      </c>
      <c r="H2509" t="n">
        <v>0.0413951523231642</v>
      </c>
      <c r="I2509" t="n">
        <v>0.0057948674471564</v>
      </c>
      <c r="J2509" t="n">
        <v>0.0053581546766665</v>
      </c>
      <c r="K2509" t="n">
        <v>0.676790187001175</v>
      </c>
      <c r="L2509" t="b">
        <v>1</v>
      </c>
      <c r="M2509" t="b">
        <v>0</v>
      </c>
      <c r="N2509" t="inlineStr">
        <is>
          <t>ref</t>
        </is>
      </c>
      <c r="O2509" t="n">
        <v>-80</v>
      </c>
      <c r="P2509" t="n">
        <v>0.02263</v>
      </c>
      <c r="Q2509" t="n">
        <v>-90</v>
      </c>
      <c r="R2509" t="n">
        <v>0.06287</v>
      </c>
      <c r="S2509">
        <f>IMAGE("https://mitra.stanford.edu/kundaje/oak/projects/neuro-variants/variant_position/credible/roussos_2024/variant_figures/roussos_2024.childhood.GLU/rs7634890_count_position.png",4,220,900)</f>
        <v/>
      </c>
      <c r="T2509">
        <f>IMAGE("https://mitra.stanford.edu/kundaje/oak/projects/neuro-variants/variant_position/credible/roussos_2024/variant_figures/roussos_2024.childhood.GLU/rs7634890_profile_position.png",4,220,900)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0.0546669859999999</v>
      </c>
      <c r="G2510" t="n">
        <v>0.1540308573760773</v>
      </c>
      <c r="H2510" t="n">
        <v>0.0160852617693317</v>
      </c>
      <c r="I2510" t="n">
        <v>0.2081709047993034</v>
      </c>
      <c r="J2510" t="n">
        <v>0.1971627844684599</v>
      </c>
      <c r="K2510" t="n">
        <v>0.149206645917542</v>
      </c>
      <c r="L2510" t="b">
        <v>0</v>
      </c>
      <c r="M2510" t="b">
        <v>0</v>
      </c>
      <c r="N2510" t="inlineStr">
        <is>
          <t>alt</t>
        </is>
      </c>
      <c r="O2510" t="n">
        <v>55</v>
      </c>
      <c r="P2510" t="n">
        <v>0.00702</v>
      </c>
      <c r="Q2510" t="n">
        <v>75</v>
      </c>
      <c r="R2510" t="n">
        <v>0.05273</v>
      </c>
      <c r="S2510">
        <f>IMAGE("https://mitra.stanford.edu/kundaje/oak/projects/neuro-variants/variant_position/credible/roussos_2024/variant_figures/roussos_2024.childhood.GLU/rs1595901_count_position.png",4,220,900)</f>
        <v/>
      </c>
      <c r="T2510">
        <f>IMAGE("https://mitra.stanford.edu/kundaje/oak/projects/neuro-variants/variant_position/credible/roussos_2024/variant_figures/roussos_2024.childhood.GLU/rs1595901_profile_position.png",4,220,900)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0.0894345896</v>
      </c>
      <c r="G2511" t="n">
        <v>0.0586951097070233</v>
      </c>
      <c r="H2511" t="n">
        <v>0.0129356682186408</v>
      </c>
      <c r="I2511" t="n">
        <v>0.3720005384081795</v>
      </c>
      <c r="J2511" t="n">
        <v>0.010480389833826</v>
      </c>
      <c r="K2511" t="n">
        <v>0.591358514924476</v>
      </c>
      <c r="L2511" t="b">
        <v>0</v>
      </c>
      <c r="M2511" t="b">
        <v>0</v>
      </c>
      <c r="N2511" t="inlineStr">
        <is>
          <t>alt</t>
        </is>
      </c>
      <c r="O2511" t="n">
        <v>5</v>
      </c>
      <c r="P2511" t="n">
        <v>0.000839</v>
      </c>
      <c r="Q2511" t="n">
        <v>40</v>
      </c>
      <c r="R2511" t="n">
        <v>0.0271</v>
      </c>
      <c r="S2511">
        <f>IMAGE("https://mitra.stanford.edu/kundaje/oak/projects/neuro-variants/variant_position/credible/roussos_2024/variant_figures/roussos_2024.childhood.GLU/rs6780082_count_position.png",4,220,900)</f>
        <v/>
      </c>
      <c r="T2511">
        <f>IMAGE("https://mitra.stanford.edu/kundaje/oak/projects/neuro-variants/variant_position/credible/roussos_2024/variant_figures/roussos_2024.childhood.GLU/rs6780082_profile_position.png",4,220,900)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-0.0316598586</v>
      </c>
      <c r="G2512" t="n">
        <v>0.3280589156584728</v>
      </c>
      <c r="H2512" t="n">
        <v>0.0104567838663365</v>
      </c>
      <c r="I2512" t="n">
        <v>0.6153944742432751</v>
      </c>
      <c r="J2512" t="n">
        <v>0.033904416537031</v>
      </c>
      <c r="K2512" t="n">
        <v>0.4125734499383608</v>
      </c>
      <c r="L2512" t="b">
        <v>0</v>
      </c>
      <c r="M2512" t="b">
        <v>0</v>
      </c>
      <c r="N2512" t="inlineStr">
        <is>
          <t>ref</t>
        </is>
      </c>
      <c r="O2512" t="n">
        <v>-90</v>
      </c>
      <c r="P2512" t="n">
        <v>0.002754</v>
      </c>
      <c r="Q2512" t="n">
        <v>-35</v>
      </c>
      <c r="R2512" t="n">
        <v>0.03168</v>
      </c>
      <c r="S2512">
        <f>IMAGE("https://mitra.stanford.edu/kundaje/oak/projects/neuro-variants/variant_position/credible/roussos_2024/variant_figures/roussos_2024.childhood.GLU/rs17551079_count_position.png",4,220,900)</f>
        <v/>
      </c>
      <c r="T2512">
        <f>IMAGE("https://mitra.stanford.edu/kundaje/oak/projects/neuro-variants/variant_position/credible/roussos_2024/variant_figures/roussos_2024.childhood.GLU/rs17551079_profile_position.png",4,220,900)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0.00386806976</v>
      </c>
      <c r="G2513" t="n">
        <v>0.8123423520595281</v>
      </c>
      <c r="H2513" t="n">
        <v>0.0291312393238163</v>
      </c>
      <c r="I2513" t="n">
        <v>0.0237038314029212</v>
      </c>
      <c r="J2513" t="n">
        <v>0.1717906188508968</v>
      </c>
      <c r="K2513" t="n">
        <v>0.1690228243129946</v>
      </c>
      <c r="L2513" t="b">
        <v>0</v>
      </c>
      <c r="M2513" t="b">
        <v>0</v>
      </c>
      <c r="N2513" t="inlineStr">
        <is>
          <t>alt</t>
        </is>
      </c>
      <c r="O2513" t="n">
        <v>50</v>
      </c>
      <c r="P2513" t="n">
        <v>0.006256</v>
      </c>
      <c r="Q2513" t="n">
        <v>-100</v>
      </c>
      <c r="R2513" t="n">
        <v>0.063</v>
      </c>
      <c r="S2513">
        <f>IMAGE("https://mitra.stanford.edu/kundaje/oak/projects/neuro-variants/variant_position/credible/roussos_2024/variant_figures/roussos_2024.childhood.GLU/rs2028408_count_position.png",4,220,900)</f>
        <v/>
      </c>
      <c r="T2513">
        <f>IMAGE("https://mitra.stanford.edu/kundaje/oak/projects/neuro-variants/variant_position/credible/roussos_2024/variant_figures/roussos_2024.childhood.GLU/rs2028408_profile_position.png",4,220,900)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-0.0131300898</v>
      </c>
      <c r="G2514" t="n">
        <v>0.5870933570205883</v>
      </c>
      <c r="H2514" t="n">
        <v>0.0349137373927758</v>
      </c>
      <c r="I2514" t="n">
        <v>0.0112824380558148</v>
      </c>
      <c r="J2514" t="n">
        <v>0.169629225174364</v>
      </c>
      <c r="K2514" t="n">
        <v>0.1709346397437185</v>
      </c>
      <c r="L2514" t="b">
        <v>1</v>
      </c>
      <c r="M2514" t="b">
        <v>0</v>
      </c>
      <c r="N2514" t="inlineStr">
        <is>
          <t>ref</t>
        </is>
      </c>
      <c r="O2514" t="n">
        <v>45</v>
      </c>
      <c r="P2514" t="n">
        <v>0.00708</v>
      </c>
      <c r="Q2514" t="n">
        <v>-70</v>
      </c>
      <c r="R2514" t="n">
        <v>0.06610000000000001</v>
      </c>
      <c r="S2514">
        <f>IMAGE("https://mitra.stanford.edu/kundaje/oak/projects/neuro-variants/variant_position/credible/roussos_2024/variant_figures/roussos_2024.childhood.GLU/rs2028409_count_position.png",4,220,900)</f>
        <v/>
      </c>
      <c r="T2514">
        <f>IMAGE("https://mitra.stanford.edu/kundaje/oak/projects/neuro-variants/variant_position/credible/roussos_2024/variant_figures/roussos_2024.childhood.GLU/rs2028409_profile_position.png",4,220,900)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0.01564483874</v>
      </c>
      <c r="G2515" t="n">
        <v>0.503716658586953</v>
      </c>
      <c r="H2515" t="n">
        <v>0.011088955351365</v>
      </c>
      <c r="I2515" t="n">
        <v>0.5407377648306581</v>
      </c>
      <c r="J2515" t="n">
        <v>0.2405565228141386</v>
      </c>
      <c r="K2515" t="n">
        <v>0.1235328232387757</v>
      </c>
      <c r="L2515" t="b">
        <v>0</v>
      </c>
      <c r="M2515" t="b">
        <v>0</v>
      </c>
      <c r="N2515" t="inlineStr">
        <is>
          <t>alt</t>
        </is>
      </c>
      <c r="O2515" t="n">
        <v>100</v>
      </c>
      <c r="P2515" t="n">
        <v>0.0176</v>
      </c>
      <c r="Q2515" t="n">
        <v>95</v>
      </c>
      <c r="R2515" t="n">
        <v>0.1202</v>
      </c>
      <c r="S2515">
        <f>IMAGE("https://mitra.stanford.edu/kundaje/oak/projects/neuro-variants/variant_position/credible/roussos_2024/variant_figures/roussos_2024.childhood.GLU/rs12715161_count_position.png",4,220,900)</f>
        <v/>
      </c>
      <c r="T2515">
        <f>IMAGE("https://mitra.stanford.edu/kundaje/oak/projects/neuro-variants/variant_position/credible/roussos_2024/variant_figures/roussos_2024.childhood.GLU/rs12715161_profile_position.png",4,220,900)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-0.0038691642015999</v>
      </c>
      <c r="G2516" t="n">
        <v>0.7903102401099144</v>
      </c>
      <c r="H2516" t="n">
        <v>0.0277272947876014</v>
      </c>
      <c r="I2516" t="n">
        <v>0.0291931964289335</v>
      </c>
      <c r="J2516" t="n">
        <v>0.2610557656052005</v>
      </c>
      <c r="K2516" t="n">
        <v>0.1130861364919457</v>
      </c>
      <c r="L2516" t="b">
        <v>0</v>
      </c>
      <c r="M2516" t="b">
        <v>0</v>
      </c>
      <c r="N2516" t="inlineStr">
        <is>
          <t>ref</t>
        </is>
      </c>
      <c r="O2516" t="n">
        <v>100</v>
      </c>
      <c r="P2516" t="n">
        <v>0.04272</v>
      </c>
      <c r="Q2516" t="n">
        <v>100</v>
      </c>
      <c r="R2516" t="n">
        <v>0.5635</v>
      </c>
      <c r="S2516">
        <f>IMAGE("https://mitra.stanford.edu/kundaje/oak/projects/neuro-variants/variant_position/credible/roussos_2024/variant_figures/roussos_2024.childhood.GLU/rs7340606_count_position.png",4,220,900)</f>
        <v/>
      </c>
      <c r="T2516">
        <f>IMAGE("https://mitra.stanford.edu/kundaje/oak/projects/neuro-variants/variant_position/credible/roussos_2024/variant_figures/roussos_2024.childhood.GLU/rs7340606_profile_position.png",4,220,900)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-0.0616463258</v>
      </c>
      <c r="G2517" t="n">
        <v>0.1321684091330731</v>
      </c>
      <c r="H2517" t="n">
        <v>0.0381586403151908</v>
      </c>
      <c r="I2517" t="n">
        <v>0.0081394766145906</v>
      </c>
      <c r="J2517" t="n">
        <v>0.0137389638085033</v>
      </c>
      <c r="K2517" t="n">
        <v>0.5437863871144251</v>
      </c>
      <c r="L2517" t="b">
        <v>1</v>
      </c>
      <c r="M2517" t="b">
        <v>0</v>
      </c>
      <c r="N2517" t="inlineStr">
        <is>
          <t>ref</t>
        </is>
      </c>
      <c r="O2517" t="n">
        <v>-100</v>
      </c>
      <c r="P2517" t="n">
        <v>0.002838</v>
      </c>
      <c r="Q2517" t="n">
        <v>45</v>
      </c>
      <c r="R2517" t="n">
        <v>0.08119999999999999</v>
      </c>
      <c r="S2517">
        <f>IMAGE("https://mitra.stanford.edu/kundaje/oak/projects/neuro-variants/variant_position/credible/roussos_2024/variant_figures/roussos_2024.childhood.GLU/rs7612854_count_position.png",4,220,900)</f>
        <v/>
      </c>
      <c r="T2517">
        <f>IMAGE("https://mitra.stanford.edu/kundaje/oak/projects/neuro-variants/variant_position/credible/roussos_2024/variant_figures/roussos_2024.childhood.GLU/rs7612854_profile_position.png",4,220,900)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-0.014963884</v>
      </c>
      <c r="G2518" t="n">
        <v>0.5597238039988089</v>
      </c>
      <c r="H2518" t="n">
        <v>0.0303807901549686</v>
      </c>
      <c r="I2518" t="n">
        <v>0.0197795327161315</v>
      </c>
      <c r="J2518" t="n">
        <v>0.0079398765800941</v>
      </c>
      <c r="K2518" t="n">
        <v>0.6205795119538908</v>
      </c>
      <c r="L2518" t="b">
        <v>0</v>
      </c>
      <c r="M2518" t="b">
        <v>0</v>
      </c>
      <c r="N2518" t="inlineStr">
        <is>
          <t>ref</t>
        </is>
      </c>
      <c r="O2518" t="n">
        <v>-90</v>
      </c>
      <c r="P2518" t="n">
        <v>0.005447</v>
      </c>
      <c r="Q2518" t="n">
        <v>-100</v>
      </c>
      <c r="R2518" t="n">
        <v>0.02716</v>
      </c>
      <c r="S2518">
        <f>IMAGE("https://mitra.stanford.edu/kundaje/oak/projects/neuro-variants/variant_position/credible/roussos_2024/variant_figures/roussos_2024.childhood.GLU/rs1449281_count_position.png",4,220,900)</f>
        <v/>
      </c>
      <c r="T2518">
        <f>IMAGE("https://mitra.stanford.edu/kundaje/oak/projects/neuro-variants/variant_position/credible/roussos_2024/variant_figures/roussos_2024.childhood.GLU/rs1449281_profile_position.png",4,220,900)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0.0620505188</v>
      </c>
      <c r="G2519" t="n">
        <v>0.1221117790612955</v>
      </c>
      <c r="H2519" t="n">
        <v>0.009589796293669</v>
      </c>
      <c r="I2519" t="n">
        <v>0.6994870407991749</v>
      </c>
      <c r="J2519" t="n">
        <v>0.0370476062925607</v>
      </c>
      <c r="K2519" t="n">
        <v>0.3996055343863852</v>
      </c>
      <c r="L2519" t="b">
        <v>0</v>
      </c>
      <c r="M2519" t="b">
        <v>0</v>
      </c>
      <c r="N2519" t="inlineStr">
        <is>
          <t>alt</t>
        </is>
      </c>
      <c r="O2519" t="n">
        <v>55</v>
      </c>
      <c r="P2519" t="n">
        <v>0.00564</v>
      </c>
      <c r="Q2519" t="n">
        <v>90</v>
      </c>
      <c r="R2519" t="n">
        <v>0.06616</v>
      </c>
      <c r="S2519">
        <f>IMAGE("https://mitra.stanford.edu/kundaje/oak/projects/neuro-variants/variant_position/credible/roussos_2024/variant_figures/roussos_2024.childhood.GLU/rs3773124_count_position.png",4,220,900)</f>
        <v/>
      </c>
      <c r="T2519">
        <f>IMAGE("https://mitra.stanford.edu/kundaje/oak/projects/neuro-variants/variant_position/credible/roussos_2024/variant_figures/roussos_2024.childhood.GLU/rs3773124_profile_position.png",4,220,900)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0.00196898114</v>
      </c>
      <c r="G2520" t="n">
        <v>0.8118724556113518</v>
      </c>
      <c r="H2520" t="n">
        <v>0.0229526713479457</v>
      </c>
      <c r="I2520" t="n">
        <v>0.06262688649883461</v>
      </c>
      <c r="J2520" t="n">
        <v>0.2505743455551319</v>
      </c>
      <c r="K2520" t="n">
        <v>0.1190365497337329</v>
      </c>
      <c r="L2520" t="b">
        <v>0</v>
      </c>
      <c r="M2520" t="b">
        <v>0</v>
      </c>
      <c r="N2520" t="inlineStr">
        <is>
          <t>alt</t>
        </is>
      </c>
      <c r="O2520" t="n">
        <v>70</v>
      </c>
      <c r="P2520" t="n">
        <v>0.0007324</v>
      </c>
      <c r="Q2520" t="n">
        <v>100</v>
      </c>
      <c r="R2520" t="n">
        <v>0.1877</v>
      </c>
      <c r="S2520">
        <f>IMAGE("https://mitra.stanford.edu/kundaje/oak/projects/neuro-variants/variant_position/credible/roussos_2024/variant_figures/roussos_2024.childhood.GLU/rs4680866_count_position.png",4,220,900)</f>
        <v/>
      </c>
      <c r="T2520">
        <f>IMAGE("https://mitra.stanford.edu/kundaje/oak/projects/neuro-variants/variant_position/credible/roussos_2024/variant_figures/roussos_2024.childhood.GLU/rs4680866_profile_position.png",4,220,900)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0.0190335429999999</v>
      </c>
      <c r="G2521" t="n">
        <v>0.3972221171820099</v>
      </c>
      <c r="H2521" t="n">
        <v>0.0158765969910002</v>
      </c>
      <c r="I2521" t="n">
        <v>0.2070589418456326</v>
      </c>
      <c r="J2521" t="n">
        <v>0.0073794389442343</v>
      </c>
      <c r="K2521" t="n">
        <v>0.6317004227296745</v>
      </c>
      <c r="L2521" t="b">
        <v>0</v>
      </c>
      <c r="M2521" t="b">
        <v>0</v>
      </c>
      <c r="N2521" t="inlineStr">
        <is>
          <t>alt</t>
        </is>
      </c>
      <c r="O2521" t="n">
        <v>-90</v>
      </c>
      <c r="P2521" t="n">
        <v>0.00228</v>
      </c>
      <c r="Q2521" t="n">
        <v>-25</v>
      </c>
      <c r="R2521" t="n">
        <v>0.05182</v>
      </c>
      <c r="S2521">
        <f>IMAGE("https://mitra.stanford.edu/kundaje/oak/projects/neuro-variants/variant_position/credible/roussos_2024/variant_figures/roussos_2024.childhood.GLU/rs62237196_count_position.png",4,220,900)</f>
        <v/>
      </c>
      <c r="T2521">
        <f>IMAGE("https://mitra.stanford.edu/kundaje/oak/projects/neuro-variants/variant_position/credible/roussos_2024/variant_figures/roussos_2024.childhood.GLU/rs62237196_profile_position.png",4,220,900)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-0.000988652234</v>
      </c>
      <c r="G2522" t="n">
        <v>0.7618327029585462</v>
      </c>
      <c r="H2522" t="n">
        <v>0.0183133336269872</v>
      </c>
      <c r="I2522" t="n">
        <v>0.1312043947254268</v>
      </c>
      <c r="J2522" t="n">
        <v>0.000111263354178</v>
      </c>
      <c r="K2522" t="n">
        <v>0.938167821334876</v>
      </c>
      <c r="L2522" t="b">
        <v>0</v>
      </c>
      <c r="M2522" t="b">
        <v>0</v>
      </c>
      <c r="N2522" t="inlineStr">
        <is>
          <t>ref</t>
        </is>
      </c>
      <c r="O2522" t="n">
        <v>50</v>
      </c>
      <c r="P2522" t="n">
        <v>0.00457</v>
      </c>
      <c r="Q2522" t="n">
        <v>100</v>
      </c>
      <c r="R2522" t="n">
        <v>0.0775</v>
      </c>
      <c r="S2522">
        <f>IMAGE("https://mitra.stanford.edu/kundaje/oak/projects/neuro-variants/variant_position/credible/roussos_2024/variant_figures/roussos_2024.childhood.GLU/rs56077410_count_position.png",4,220,900)</f>
        <v/>
      </c>
      <c r="T2522">
        <f>IMAGE("https://mitra.stanford.edu/kundaje/oak/projects/neuro-variants/variant_position/credible/roussos_2024/variant_figures/roussos_2024.childhood.GLU/rs56077410_profile_position.png",4,220,900)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-0.00764934382</v>
      </c>
      <c r="G2523" t="n">
        <v>0.5916293788760711</v>
      </c>
      <c r="H2523" t="n">
        <v>0.0202316342784175</v>
      </c>
      <c r="I2523" t="n">
        <v>0.09952006299808321</v>
      </c>
      <c r="J2523" t="n">
        <v>0.8975089371259027</v>
      </c>
      <c r="K2523" t="n">
        <v>0.0022714426800696</v>
      </c>
      <c r="L2523" t="b">
        <v>0</v>
      </c>
      <c r="M2523" t="b">
        <v>0</v>
      </c>
      <c r="N2523" t="inlineStr">
        <is>
          <t>ref</t>
        </is>
      </c>
      <c r="O2523" t="n">
        <v>50</v>
      </c>
      <c r="P2523" t="n">
        <v>0.007294</v>
      </c>
      <c r="Q2523" t="n">
        <v>100</v>
      </c>
      <c r="R2523" t="n">
        <v>0.1892</v>
      </c>
      <c r="S2523">
        <f>IMAGE("https://mitra.stanford.edu/kundaje/oak/projects/neuro-variants/variant_position/credible/roussos_2024/variant_figures/roussos_2024.childhood.GLU/rs76150980_count_position.png",4,220,900)</f>
        <v/>
      </c>
      <c r="T2523">
        <f>IMAGE("https://mitra.stanford.edu/kundaje/oak/projects/neuro-variants/variant_position/credible/roussos_2024/variant_figures/roussos_2024.childhood.GLU/rs76150980_profile_position.png",4,220,900)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-0.0310737156</v>
      </c>
      <c r="G2524" t="n">
        <v>0.3319054381820979</v>
      </c>
      <c r="H2524" t="n">
        <v>0.0100421258829208</v>
      </c>
      <c r="I2524" t="n">
        <v>0.6457851686219308</v>
      </c>
      <c r="J2524" t="n">
        <v>0.111038767037201</v>
      </c>
      <c r="K2524" t="n">
        <v>0.2320133621763355</v>
      </c>
      <c r="L2524" t="b">
        <v>0</v>
      </c>
      <c r="M2524" t="b">
        <v>0</v>
      </c>
      <c r="N2524" t="inlineStr">
        <is>
          <t>ref</t>
        </is>
      </c>
      <c r="O2524" t="n">
        <v>70</v>
      </c>
      <c r="P2524" t="n">
        <v>0.03223</v>
      </c>
      <c r="Q2524" t="n">
        <v>70</v>
      </c>
      <c r="R2524" t="n">
        <v>0.1334</v>
      </c>
      <c r="S2524">
        <f>IMAGE("https://mitra.stanford.edu/kundaje/oak/projects/neuro-variants/variant_position/credible/roussos_2024/variant_figures/roussos_2024.childhood.GLU/rs62244405_count_position.png",4,220,900)</f>
        <v/>
      </c>
      <c r="T2524">
        <f>IMAGE("https://mitra.stanford.edu/kundaje/oak/projects/neuro-variants/variant_position/credible/roussos_2024/variant_figures/roussos_2024.childhood.GLU/rs62244405_profile_position.png",4,220,900)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-0.136153714</v>
      </c>
      <c r="G2525" t="n">
        <v>0.028004617666589</v>
      </c>
      <c r="H2525" t="n">
        <v>0.032376205569188</v>
      </c>
      <c r="I2525" t="n">
        <v>0.0178019788087401</v>
      </c>
      <c r="J2525" t="n">
        <v>0.1938743342227533</v>
      </c>
      <c r="K2525" t="n">
        <v>0.1519104183737928</v>
      </c>
      <c r="L2525" t="b">
        <v>1</v>
      </c>
      <c r="M2525" t="b">
        <v>0</v>
      </c>
      <c r="N2525" t="inlineStr">
        <is>
          <t>ref</t>
        </is>
      </c>
      <c r="O2525" t="n">
        <v>-15</v>
      </c>
      <c r="P2525" t="n">
        <v>0.003067</v>
      </c>
      <c r="Q2525" t="n">
        <v>-15</v>
      </c>
      <c r="R2525" t="n">
        <v>0.03052</v>
      </c>
      <c r="S2525">
        <f>IMAGE("https://mitra.stanford.edu/kundaje/oak/projects/neuro-variants/variant_position/credible/roussos_2024/variant_figures/roussos_2024.childhood.GLU/rs17028710_count_position.png",4,220,900)</f>
        <v/>
      </c>
      <c r="T2525">
        <f>IMAGE("https://mitra.stanford.edu/kundaje/oak/projects/neuro-variants/variant_position/credible/roussos_2024/variant_figures/roussos_2024.childhood.GLU/rs17028710_profile_position.png",4,220,900)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0.0762798607999999</v>
      </c>
      <c r="G2526" t="n">
        <v>0.0871761305956206</v>
      </c>
      <c r="H2526" t="n">
        <v>0.010582828762245</v>
      </c>
      <c r="I2526" t="n">
        <v>0.5945690028393904</v>
      </c>
      <c r="J2526" t="n">
        <v>0.0477206465637137</v>
      </c>
      <c r="K2526" t="n">
        <v>0.3653371247255867</v>
      </c>
      <c r="L2526" t="b">
        <v>0</v>
      </c>
      <c r="M2526" t="b">
        <v>0</v>
      </c>
      <c r="N2526" t="inlineStr">
        <is>
          <t>alt</t>
        </is>
      </c>
      <c r="O2526" t="n">
        <v>-85</v>
      </c>
      <c r="P2526" t="n">
        <v>0.00516</v>
      </c>
      <c r="Q2526" t="n">
        <v>45</v>
      </c>
      <c r="R2526" t="n">
        <v>0.09705</v>
      </c>
      <c r="S2526">
        <f>IMAGE("https://mitra.stanford.edu/kundaje/oak/projects/neuro-variants/variant_position/credible/roussos_2024/variant_figures/roussos_2024.childhood.GLU/rs17028714_count_position.png",4,220,900)</f>
        <v/>
      </c>
      <c r="T2526">
        <f>IMAGE("https://mitra.stanford.edu/kundaje/oak/projects/neuro-variants/variant_position/credible/roussos_2024/variant_figures/roussos_2024.childhood.GLU/rs17028714_profile_position.png",4,220,900)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-0.0258491428</v>
      </c>
      <c r="G2527" t="n">
        <v>0.2288495072113542</v>
      </c>
      <c r="H2527" t="n">
        <v>0.0151835005081312</v>
      </c>
      <c r="I2527" t="n">
        <v>0.2441331625205798</v>
      </c>
      <c r="J2527" t="n">
        <v>0.0599864011456004</v>
      </c>
      <c r="K2527" t="n">
        <v>0.3257095443572152</v>
      </c>
      <c r="L2527" t="b">
        <v>0</v>
      </c>
      <c r="M2527" t="b">
        <v>0</v>
      </c>
      <c r="N2527" t="inlineStr">
        <is>
          <t>ref</t>
        </is>
      </c>
      <c r="O2527" t="n">
        <v>40</v>
      </c>
      <c r="P2527" t="n">
        <v>0.001949</v>
      </c>
      <c r="Q2527" t="n">
        <v>-85</v>
      </c>
      <c r="R2527" t="n">
        <v>0.06866</v>
      </c>
      <c r="S2527">
        <f>IMAGE("https://mitra.stanford.edu/kundaje/oak/projects/neuro-variants/variant_position/credible/roussos_2024/variant_figures/roussos_2024.childhood.GLU/rs17028716_count_position.png",4,220,900)</f>
        <v/>
      </c>
      <c r="T2527">
        <f>IMAGE("https://mitra.stanford.edu/kundaje/oak/projects/neuro-variants/variant_position/credible/roussos_2024/variant_figures/roussos_2024.childhood.GLU/rs17028716_profile_position.png",4,220,900)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0.0037966193259999</v>
      </c>
      <c r="G2528" t="n">
        <v>0.8278139368180112</v>
      </c>
      <c r="H2528" t="n">
        <v>0.008118061400107899</v>
      </c>
      <c r="I2528" t="n">
        <v>0.8610562254239341</v>
      </c>
      <c r="J2528" t="n">
        <v>0.157714774331132</v>
      </c>
      <c r="K2528" t="n">
        <v>0.1819567956678559</v>
      </c>
      <c r="L2528" t="b">
        <v>0</v>
      </c>
      <c r="M2528" t="b">
        <v>0</v>
      </c>
      <c r="N2528" t="inlineStr">
        <is>
          <t>alt</t>
        </is>
      </c>
      <c r="O2528" t="n">
        <v>60</v>
      </c>
      <c r="P2528" t="n">
        <v>0.01675</v>
      </c>
      <c r="Q2528" t="n">
        <v>70</v>
      </c>
      <c r="R2528" t="n">
        <v>0.09314</v>
      </c>
      <c r="S2528">
        <f>IMAGE("https://mitra.stanford.edu/kundaje/oak/projects/neuro-variants/variant_position/credible/roussos_2024/variant_figures/roussos_2024.childhood.GLU/rs1376606_count_position.png",4,220,900)</f>
        <v/>
      </c>
      <c r="T2528">
        <f>IMAGE("https://mitra.stanford.edu/kundaje/oak/projects/neuro-variants/variant_position/credible/roussos_2024/variant_figures/roussos_2024.childhood.GLU/rs1376606_profile_position.png",4,220,900)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0.07840325319999999</v>
      </c>
      <c r="G2529" t="n">
        <v>0.0735521040505948</v>
      </c>
      <c r="H2529" t="n">
        <v>0.0144247778774443</v>
      </c>
      <c r="I2529" t="n">
        <v>0.2754949048962981</v>
      </c>
      <c r="J2529" t="n">
        <v>0.0485468799901098</v>
      </c>
      <c r="K2529" t="n">
        <v>0.365727670811506</v>
      </c>
      <c r="L2529" t="b">
        <v>0</v>
      </c>
      <c r="M2529" t="b">
        <v>0</v>
      </c>
      <c r="N2529" t="inlineStr">
        <is>
          <t>alt</t>
        </is>
      </c>
      <c r="O2529" t="n">
        <v>60</v>
      </c>
      <c r="P2529" t="n">
        <v>0.001583</v>
      </c>
      <c r="Q2529" t="n">
        <v>85</v>
      </c>
      <c r="R2529" t="n">
        <v>0.0386</v>
      </c>
      <c r="S2529">
        <f>IMAGE("https://mitra.stanford.edu/kundaje/oak/projects/neuro-variants/variant_position/credible/roussos_2024/variant_figures/roussos_2024.childhood.GLU/rs1553656_count_position.png",4,220,900)</f>
        <v/>
      </c>
      <c r="T2529">
        <f>IMAGE("https://mitra.stanford.edu/kundaje/oak/projects/neuro-variants/variant_position/credible/roussos_2024/variant_figures/roussos_2024.childhood.GLU/rs1553656_profile_position.png",4,220,900)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-0.045462254</v>
      </c>
      <c r="G2530" t="n">
        <v>0.2070738178103799</v>
      </c>
      <c r="H2530" t="n">
        <v>0.009566014751100201</v>
      </c>
      <c r="I2530" t="n">
        <v>0.7115423786147475</v>
      </c>
      <c r="J2530" t="n">
        <v>0.08517724870450299</v>
      </c>
      <c r="K2530" t="n">
        <v>0.2733015933958451</v>
      </c>
      <c r="L2530" t="b">
        <v>0</v>
      </c>
      <c r="M2530" t="b">
        <v>0</v>
      </c>
      <c r="N2530" t="inlineStr">
        <is>
          <t>ref</t>
        </is>
      </c>
      <c r="O2530" t="n">
        <v>-55</v>
      </c>
      <c r="P2530" t="n">
        <v>0.003326</v>
      </c>
      <c r="Q2530" t="n">
        <v>85</v>
      </c>
      <c r="R2530" t="n">
        <v>0.02979</v>
      </c>
      <c r="S2530">
        <f>IMAGE("https://mitra.stanford.edu/kundaje/oak/projects/neuro-variants/variant_position/credible/roussos_2024/variant_figures/roussos_2024.childhood.GLU/rs4624519_count_position.png",4,220,900)</f>
        <v/>
      </c>
      <c r="T2530">
        <f>IMAGE("https://mitra.stanford.edu/kundaje/oak/projects/neuro-variants/variant_position/credible/roussos_2024/variant_figures/roussos_2024.childhood.GLU/rs4624519_profile_position.png",4,220,900)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0.00767212738</v>
      </c>
      <c r="G2531" t="n">
        <v>0.6963046434464351</v>
      </c>
      <c r="H2531" t="n">
        <v>0.0392195737958355</v>
      </c>
      <c r="I2531" t="n">
        <v>0.007051313595494</v>
      </c>
      <c r="J2531" t="n">
        <v>0.0039045195586553</v>
      </c>
      <c r="K2531" t="n">
        <v>0.7035196478762133</v>
      </c>
      <c r="L2531" t="b">
        <v>0</v>
      </c>
      <c r="M2531" t="b">
        <v>0</v>
      </c>
      <c r="N2531" t="inlineStr">
        <is>
          <t>alt</t>
        </is>
      </c>
      <c r="O2531" t="n">
        <v>85</v>
      </c>
      <c r="P2531" t="n">
        <v>0.004364</v>
      </c>
      <c r="Q2531" t="n">
        <v>-85</v>
      </c>
      <c r="R2531" t="n">
        <v>0.08276</v>
      </c>
      <c r="S2531">
        <f>IMAGE("https://mitra.stanford.edu/kundaje/oak/projects/neuro-variants/variant_position/credible/roussos_2024/variant_figures/roussos_2024.childhood.GLU/rs142802540_count_position.png",4,220,900)</f>
        <v/>
      </c>
      <c r="T2531">
        <f>IMAGE("https://mitra.stanford.edu/kundaje/oak/projects/neuro-variants/variant_position/credible/roussos_2024/variant_figures/roussos_2024.childhood.GLU/rs142802540_profile_position.png",4,220,900)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0.0529155572</v>
      </c>
      <c r="G2532" t="n">
        <v>0.1557930150646608</v>
      </c>
      <c r="H2532" t="n">
        <v>0.010910242132407</v>
      </c>
      <c r="I2532" t="n">
        <v>0.5578617785743148</v>
      </c>
      <c r="J2532" t="n">
        <v>0.1074855512172004</v>
      </c>
      <c r="K2532" t="n">
        <v>0.2330773155525458</v>
      </c>
      <c r="L2532" t="b">
        <v>0</v>
      </c>
      <c r="M2532" t="b">
        <v>0</v>
      </c>
      <c r="N2532" t="inlineStr">
        <is>
          <t>alt</t>
        </is>
      </c>
      <c r="O2532" t="n">
        <v>100</v>
      </c>
      <c r="P2532" t="n">
        <v>0.008224</v>
      </c>
      <c r="Q2532" t="n">
        <v>-60</v>
      </c>
      <c r="R2532" t="n">
        <v>0.08813</v>
      </c>
      <c r="S2532">
        <f>IMAGE("https://mitra.stanford.edu/kundaje/oak/projects/neuro-variants/variant_position/credible/roussos_2024/variant_figures/roussos_2024.childhood.GLU/rs4789_count_position.png",4,220,900)</f>
        <v/>
      </c>
      <c r="T2532">
        <f>IMAGE("https://mitra.stanford.edu/kundaje/oak/projects/neuro-variants/variant_position/credible/roussos_2024/variant_figures/roussos_2024.childhood.GLU/rs4789_profile_position.png",4,220,900)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0.097750485</v>
      </c>
      <c r="G2533" t="n">
        <v>0.0505471131186768</v>
      </c>
      <c r="H2533" t="n">
        <v>0.0246258638913814</v>
      </c>
      <c r="I2533" t="n">
        <v>0.0478955097647937</v>
      </c>
      <c r="J2533" t="n">
        <v>0.0899255153656752</v>
      </c>
      <c r="K2533" t="n">
        <v>0.2676463863265746</v>
      </c>
      <c r="L2533" t="b">
        <v>0</v>
      </c>
      <c r="M2533" t="b">
        <v>0</v>
      </c>
      <c r="N2533" t="inlineStr">
        <is>
          <t>alt</t>
        </is>
      </c>
      <c r="O2533" t="n">
        <v>35</v>
      </c>
      <c r="P2533" t="n">
        <v>0.00293</v>
      </c>
      <c r="Q2533" t="n">
        <v>50</v>
      </c>
      <c r="R2533" t="n">
        <v>0.07196</v>
      </c>
      <c r="S2533">
        <f>IMAGE("https://mitra.stanford.edu/kundaje/oak/projects/neuro-variants/variant_position/credible/roussos_2024/variant_figures/roussos_2024.childhood.GLU/rs12637912_count_position.png",4,220,900)</f>
        <v/>
      </c>
      <c r="T2533">
        <f>IMAGE("https://mitra.stanford.edu/kundaje/oak/projects/neuro-variants/variant_position/credible/roussos_2024/variant_figures/roussos_2024.childhood.GLU/rs12637912_profile_position.png",4,220,900)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-0.0644847652</v>
      </c>
      <c r="G2534" t="n">
        <v>0.1324725434075264</v>
      </c>
      <c r="H2534" t="n">
        <v>0.0228042139406259</v>
      </c>
      <c r="I2534" t="n">
        <v>0.0634653536149786</v>
      </c>
      <c r="J2534" t="n">
        <v>0.1905312825162001</v>
      </c>
      <c r="K2534" t="n">
        <v>0.1577461842372172</v>
      </c>
      <c r="L2534" t="b">
        <v>0</v>
      </c>
      <c r="M2534" t="b">
        <v>0</v>
      </c>
      <c r="N2534" t="inlineStr">
        <is>
          <t>ref</t>
        </is>
      </c>
      <c r="O2534" t="n">
        <v>-100</v>
      </c>
      <c r="P2534" t="n">
        <v>0.002419</v>
      </c>
      <c r="Q2534" t="n">
        <v>100</v>
      </c>
      <c r="R2534" t="n">
        <v>0.0701</v>
      </c>
      <c r="S2534">
        <f>IMAGE("https://mitra.stanford.edu/kundaje/oak/projects/neuro-variants/variant_position/credible/roussos_2024/variant_figures/roussos_2024.childhood.GLU/rs3732385_count_position.png",4,220,900)</f>
        <v/>
      </c>
      <c r="T2534">
        <f>IMAGE("https://mitra.stanford.edu/kundaje/oak/projects/neuro-variants/variant_position/credible/roussos_2024/variant_figures/roussos_2024.childhood.GLU/rs3732385_profile_position.png",4,220,900)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0.00615323564</v>
      </c>
      <c r="G2535" t="n">
        <v>0.696295959447205</v>
      </c>
      <c r="H2535" t="n">
        <v>0.007960594766741</v>
      </c>
      <c r="I2535" t="n">
        <v>0.8756201378507883</v>
      </c>
      <c r="J2535" t="n">
        <v>0.08983176568761771</v>
      </c>
      <c r="K2535" t="n">
        <v>0.2704851787666354</v>
      </c>
      <c r="L2535" t="b">
        <v>0</v>
      </c>
      <c r="M2535" t="b">
        <v>0</v>
      </c>
      <c r="N2535" t="inlineStr">
        <is>
          <t>alt</t>
        </is>
      </c>
      <c r="O2535" t="n">
        <v>95</v>
      </c>
      <c r="P2535" t="n">
        <v>0.06510000000000001</v>
      </c>
      <c r="Q2535" t="n">
        <v>95</v>
      </c>
      <c r="R2535" t="n">
        <v>0.4678</v>
      </c>
      <c r="S2535">
        <f>IMAGE("https://mitra.stanford.edu/kundaje/oak/projects/neuro-variants/variant_position/credible/roussos_2024/variant_figures/roussos_2024.childhood.GLU/rs4678909_count_position.png",4,220,900)</f>
        <v/>
      </c>
      <c r="T2535">
        <f>IMAGE("https://mitra.stanford.edu/kundaje/oak/projects/neuro-variants/variant_position/credible/roussos_2024/variant_figures/roussos_2024.childhood.GLU/rs4678909_profile_position.png",4,220,900)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-0.0643663418</v>
      </c>
      <c r="G2536" t="n">
        <v>0.1169248009610391</v>
      </c>
      <c r="H2536" t="n">
        <v>0.0110098105604646</v>
      </c>
      <c r="I2536" t="n">
        <v>0.5536086231091001</v>
      </c>
      <c r="J2536" t="n">
        <v>0.0825780131249548</v>
      </c>
      <c r="K2536" t="n">
        <v>0.279731608296838</v>
      </c>
      <c r="L2536" t="b">
        <v>0</v>
      </c>
      <c r="M2536" t="b">
        <v>0</v>
      </c>
      <c r="N2536" t="inlineStr">
        <is>
          <t>ref</t>
        </is>
      </c>
      <c r="O2536" t="n">
        <v>80</v>
      </c>
      <c r="P2536" t="n">
        <v>0.01614</v>
      </c>
      <c r="Q2536" t="n">
        <v>10</v>
      </c>
      <c r="R2536" t="n">
        <v>0.001099</v>
      </c>
      <c r="S2536">
        <f>IMAGE("https://mitra.stanford.edu/kundaje/oak/projects/neuro-variants/variant_position/credible/roussos_2024/variant_figures/roussos_2024.childhood.GLU/rs9863798_count_position.png",4,220,900)</f>
        <v/>
      </c>
      <c r="T2536">
        <f>IMAGE("https://mitra.stanford.edu/kundaje/oak/projects/neuro-variants/variant_position/credible/roussos_2024/variant_figures/roussos_2024.childhood.GLU/rs9863798_profile_position.png",4,220,900)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-0.158396532</v>
      </c>
      <c r="G2537" t="n">
        <v>0.0150563968791727</v>
      </c>
      <c r="H2537" t="n">
        <v>0.0232524954018853</v>
      </c>
      <c r="I2537" t="n">
        <v>0.0577352388533051</v>
      </c>
      <c r="J2537" t="n">
        <v>0.009939526306571699</v>
      </c>
      <c r="K2537" t="n">
        <v>0.6007316442190751</v>
      </c>
      <c r="L2537" t="b">
        <v>1</v>
      </c>
      <c r="M2537" t="b">
        <v>0</v>
      </c>
      <c r="N2537" t="inlineStr">
        <is>
          <t>ref</t>
        </is>
      </c>
      <c r="O2537" t="n">
        <v>100</v>
      </c>
      <c r="P2537" t="n">
        <v>0.014435</v>
      </c>
      <c r="Q2537" t="n">
        <v>85</v>
      </c>
      <c r="R2537" t="n">
        <v>0.02765</v>
      </c>
      <c r="S2537">
        <f>IMAGE("https://mitra.stanford.edu/kundaje/oak/projects/neuro-variants/variant_position/credible/roussos_2024/variant_figures/roussos_2024.childhood.GLU/rs35979223_count_position.png",4,220,900)</f>
        <v/>
      </c>
      <c r="T2537">
        <f>IMAGE("https://mitra.stanford.edu/kundaje/oak/projects/neuro-variants/variant_position/credible/roussos_2024/variant_figures/roussos_2024.childhood.GLU/rs35979223_profile_position.png",4,220,900)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-0.08693740379999999</v>
      </c>
      <c r="G2538" t="n">
        <v>0.0712407580098525</v>
      </c>
      <c r="H2538" t="n">
        <v>0.0138443309912275</v>
      </c>
      <c r="I2538" t="n">
        <v>0.3184421652870641</v>
      </c>
      <c r="J2538" t="n">
        <v>0.0466677655639918</v>
      </c>
      <c r="K2538" t="n">
        <v>0.3606361506748427</v>
      </c>
      <c r="L2538" t="b">
        <v>0</v>
      </c>
      <c r="M2538" t="b">
        <v>0</v>
      </c>
      <c r="N2538" t="inlineStr">
        <is>
          <t>ref</t>
        </is>
      </c>
      <c r="O2538" t="n">
        <v>100</v>
      </c>
      <c r="P2538" t="n">
        <v>0.02057</v>
      </c>
      <c r="Q2538" t="n">
        <v>-45</v>
      </c>
      <c r="R2538" t="n">
        <v>0.0713</v>
      </c>
      <c r="S2538">
        <f>IMAGE("https://mitra.stanford.edu/kundaje/oak/projects/neuro-variants/variant_position/credible/roussos_2024/variant_figures/roussos_2024.childhood.GLU/rs4678910_count_position.png",4,220,900)</f>
        <v/>
      </c>
      <c r="T2538">
        <f>IMAGE("https://mitra.stanford.edu/kundaje/oak/projects/neuro-variants/variant_position/credible/roussos_2024/variant_figures/roussos_2024.childhood.GLU/rs4678910_profile_position.png",4,220,900)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0.08123674459999999</v>
      </c>
      <c r="G2539" t="n">
        <v>0.0889201262616694</v>
      </c>
      <c r="H2539" t="n">
        <v>0.024630715098121</v>
      </c>
      <c r="I2539" t="n">
        <v>0.0499867880343588</v>
      </c>
      <c r="J2539" t="n">
        <v>0.0742888932386907</v>
      </c>
      <c r="K2539" t="n">
        <v>0.2900934789706438</v>
      </c>
      <c r="L2539" t="b">
        <v>0</v>
      </c>
      <c r="M2539" t="b">
        <v>0</v>
      </c>
      <c r="N2539" t="inlineStr">
        <is>
          <t>alt</t>
        </is>
      </c>
      <c r="O2539" t="n">
        <v>45</v>
      </c>
      <c r="P2539" t="n">
        <v>0.01305</v>
      </c>
      <c r="Q2539" t="n">
        <v>-80</v>
      </c>
      <c r="R2539" t="n">
        <v>0.175</v>
      </c>
      <c r="S2539">
        <f>IMAGE("https://mitra.stanford.edu/kundaje/oak/projects/neuro-variants/variant_position/credible/roussos_2024/variant_figures/roussos_2024.childhood.GLU/rs4678911_count_position.png",4,220,900)</f>
        <v/>
      </c>
      <c r="T2539">
        <f>IMAGE("https://mitra.stanford.edu/kundaje/oak/projects/neuro-variants/variant_position/credible/roussos_2024/variant_figures/roussos_2024.childhood.GLU/rs4678911_profile_position.png",4,220,900)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-0.00680998976</v>
      </c>
      <c r="G2540" t="n">
        <v>0.6704126947635284</v>
      </c>
      <c r="H2540" t="n">
        <v>0.0308680683352515</v>
      </c>
      <c r="I2540" t="n">
        <v>0.0187086583908793</v>
      </c>
      <c r="J2540" t="n">
        <v>0.0708459105566257</v>
      </c>
      <c r="K2540" t="n">
        <v>0.2970723212207879</v>
      </c>
      <c r="L2540" t="b">
        <v>1</v>
      </c>
      <c r="M2540" t="b">
        <v>0</v>
      </c>
      <c r="N2540" t="inlineStr">
        <is>
          <t>ref</t>
        </is>
      </c>
      <c r="O2540" t="n">
        <v>35</v>
      </c>
      <c r="P2540" t="n">
        <v>0.01625</v>
      </c>
      <c r="Q2540" t="n">
        <v>-65</v>
      </c>
      <c r="R2540" t="n">
        <v>0.1033</v>
      </c>
      <c r="S2540">
        <f>IMAGE("https://mitra.stanford.edu/kundaje/oak/projects/neuro-variants/variant_position/credible/roussos_2024/variant_figures/roussos_2024.childhood.GLU/rs9819304_count_position.png",4,220,900)</f>
        <v/>
      </c>
      <c r="T2540">
        <f>IMAGE("https://mitra.stanford.edu/kundaje/oak/projects/neuro-variants/variant_position/credible/roussos_2024/variant_figures/roussos_2024.childhood.GLU/rs9819304_profile_position.png",4,220,900)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-0.0791267668</v>
      </c>
      <c r="G2541" t="n">
        <v>0.09195923538335769</v>
      </c>
      <c r="H2541" t="n">
        <v>0.013443002911454</v>
      </c>
      <c r="I2541" t="n">
        <v>0.3425070079593247</v>
      </c>
      <c r="J2541" t="n">
        <v>0.0025662686597916</v>
      </c>
      <c r="K2541" t="n">
        <v>0.7429345003906809</v>
      </c>
      <c r="L2541" t="b">
        <v>0</v>
      </c>
      <c r="M2541" t="b">
        <v>0</v>
      </c>
      <c r="N2541" t="inlineStr">
        <is>
          <t>ref</t>
        </is>
      </c>
      <c r="O2541" t="n">
        <v>45</v>
      </c>
      <c r="P2541" t="n">
        <v>0.006718</v>
      </c>
      <c r="Q2541" t="n">
        <v>-95</v>
      </c>
      <c r="R2541" t="n">
        <v>0.0608</v>
      </c>
      <c r="S2541">
        <f>IMAGE("https://mitra.stanford.edu/kundaje/oak/projects/neuro-variants/variant_position/credible/roussos_2024/variant_figures/roussos_2024.childhood.GLU/rs9883001_count_position.png",4,220,900)</f>
        <v/>
      </c>
      <c r="T2541">
        <f>IMAGE("https://mitra.stanford.edu/kundaje/oak/projects/neuro-variants/variant_position/credible/roussos_2024/variant_figures/roussos_2024.childhood.GLU/rs9883001_profile_position.png",4,220,900)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-0.208835156</v>
      </c>
      <c r="G2542" t="n">
        <v>0.0074411481026028</v>
      </c>
      <c r="H2542" t="n">
        <v>0.0319963203143978</v>
      </c>
      <c r="I2542" t="n">
        <v>0.0174828776567151</v>
      </c>
      <c r="J2542" t="n">
        <v>0.0623631100167924</v>
      </c>
      <c r="K2542" t="n">
        <v>0.3166531129723904</v>
      </c>
      <c r="L2542" t="b">
        <v>1</v>
      </c>
      <c r="M2542" t="b">
        <v>1</v>
      </c>
      <c r="N2542" t="inlineStr">
        <is>
          <t>ref</t>
        </is>
      </c>
      <c r="O2542" t="n">
        <v>45</v>
      </c>
      <c r="P2542" t="n">
        <v>0.001099</v>
      </c>
      <c r="Q2542" t="n">
        <v>-75</v>
      </c>
      <c r="R2542" t="n">
        <v>0.013306</v>
      </c>
      <c r="S2542">
        <f>IMAGE("https://mitra.stanford.edu/kundaje/oak/projects/neuro-variants/variant_position/credible/roussos_2024/variant_figures/roussos_2024.childhood.GLU/rs11706780_count_position.png",4,220,900)</f>
        <v/>
      </c>
      <c r="T2542">
        <f>IMAGE("https://mitra.stanford.edu/kundaje/oak/projects/neuro-variants/variant_position/credible/roussos_2024/variant_figures/roussos_2024.childhood.GLU/rs11706780_profile_position.png",4,220,900)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-0.0198374206</v>
      </c>
      <c r="G2543" t="n">
        <v>0.1245155219345428</v>
      </c>
      <c r="H2543" t="n">
        <v>0.0162238411135646</v>
      </c>
      <c r="I2543" t="n">
        <v>0.1999343263896155</v>
      </c>
      <c r="J2543" t="n">
        <v>0.0488374009704636</v>
      </c>
      <c r="K2543" t="n">
        <v>0.3600398016874981</v>
      </c>
      <c r="L2543" t="b">
        <v>0</v>
      </c>
      <c r="M2543" t="b">
        <v>0</v>
      </c>
      <c r="N2543" t="inlineStr">
        <is>
          <t>ref</t>
        </is>
      </c>
      <c r="O2543" t="n">
        <v>-100</v>
      </c>
      <c r="P2543" t="n">
        <v>0.010124</v>
      </c>
      <c r="Q2543" t="n">
        <v>-55</v>
      </c>
      <c r="R2543" t="n">
        <v>0.01099</v>
      </c>
      <c r="S2543">
        <f>IMAGE("https://mitra.stanford.edu/kundaje/oak/projects/neuro-variants/variant_position/credible/roussos_2024/variant_figures/roussos_2024.childhood.GLU/rs11129739_count_position.png",4,220,900)</f>
        <v/>
      </c>
      <c r="T2543">
        <f>IMAGE("https://mitra.stanford.edu/kundaje/oak/projects/neuro-variants/variant_position/credible/roussos_2024/variant_figures/roussos_2024.childhood.GLU/rs11129739_profile_position.png",4,220,900)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0.00503612874</v>
      </c>
      <c r="G2544" t="n">
        <v>0.7637017194065718</v>
      </c>
      <c r="H2544" t="n">
        <v>0.0306008533179993</v>
      </c>
      <c r="I2544" t="n">
        <v>0.0194240664214226</v>
      </c>
      <c r="J2544" t="n">
        <v>0.0443775948571604</v>
      </c>
      <c r="K2544" t="n">
        <v>0.3681978018463778</v>
      </c>
      <c r="L2544" t="b">
        <v>1</v>
      </c>
      <c r="M2544" t="b">
        <v>0</v>
      </c>
      <c r="N2544" t="inlineStr">
        <is>
          <t>alt</t>
        </is>
      </c>
      <c r="O2544" t="n">
        <v>-80</v>
      </c>
      <c r="P2544" t="n">
        <v>0.04413</v>
      </c>
      <c r="Q2544" t="n">
        <v>10</v>
      </c>
      <c r="R2544" t="n">
        <v>0.00525</v>
      </c>
      <c r="S2544">
        <f>IMAGE("https://mitra.stanford.edu/kundaje/oak/projects/neuro-variants/variant_position/credible/roussos_2024/variant_figures/roussos_2024.childhood.GLU/rs6807351_count_position.png",4,220,900)</f>
        <v/>
      </c>
      <c r="T2544">
        <f>IMAGE("https://mitra.stanford.edu/kundaje/oak/projects/neuro-variants/variant_position/credible/roussos_2024/variant_figures/roussos_2024.childhood.GLU/rs6807351_profile_position.png",4,220,900)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-0.0068341282</v>
      </c>
      <c r="G2545" t="n">
        <v>0.6770251720531594</v>
      </c>
      <c r="H2545" t="n">
        <v>0.0249916292529593</v>
      </c>
      <c r="I2545" t="n">
        <v>0.0466475263585329</v>
      </c>
      <c r="J2545" t="n">
        <v>0.1397251383065305</v>
      </c>
      <c r="K2545" t="n">
        <v>0.1988636454459875</v>
      </c>
      <c r="L2545" t="b">
        <v>0</v>
      </c>
      <c r="M2545" t="b">
        <v>0</v>
      </c>
      <c r="N2545" t="inlineStr">
        <is>
          <t>ref</t>
        </is>
      </c>
      <c r="O2545" t="n">
        <v>65</v>
      </c>
      <c r="P2545" t="n">
        <v>0.0282</v>
      </c>
      <c r="Q2545" t="n">
        <v>-85</v>
      </c>
      <c r="R2545" t="n">
        <v>0.06836</v>
      </c>
      <c r="S2545">
        <f>IMAGE("https://mitra.stanford.edu/kundaje/oak/projects/neuro-variants/variant_position/credible/roussos_2024/variant_figures/roussos_2024.childhood.GLU/rs6778309_count_position.png",4,220,900)</f>
        <v/>
      </c>
      <c r="T2545">
        <f>IMAGE("https://mitra.stanford.edu/kundaje/oak/projects/neuro-variants/variant_position/credible/roussos_2024/variant_figures/roussos_2024.childhood.GLU/rs6778309_profile_position.png",4,220,900)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-0.0749598626</v>
      </c>
      <c r="G2546" t="n">
        <v>0.08553002218101979</v>
      </c>
      <c r="H2546" t="n">
        <v>0.0134554489559598</v>
      </c>
      <c r="I2546" t="n">
        <v>0.3356973929986797</v>
      </c>
      <c r="J2546" t="n">
        <v>0.1694149401959471</v>
      </c>
      <c r="K2546" t="n">
        <v>0.1717782835868605</v>
      </c>
      <c r="L2546" t="b">
        <v>0</v>
      </c>
      <c r="M2546" t="b">
        <v>0</v>
      </c>
      <c r="N2546" t="inlineStr">
        <is>
          <t>ref</t>
        </is>
      </c>
      <c r="O2546" t="n">
        <v>95</v>
      </c>
      <c r="P2546" t="n">
        <v>0.005768</v>
      </c>
      <c r="Q2546" t="n">
        <v>-90</v>
      </c>
      <c r="R2546" t="n">
        <v>0.1223</v>
      </c>
      <c r="S2546">
        <f>IMAGE("https://mitra.stanford.edu/kundaje/oak/projects/neuro-variants/variant_position/credible/roussos_2024/variant_figures/roussos_2024.childhood.GLU/rs113888150_count_position.png",4,220,900)</f>
        <v/>
      </c>
      <c r="T2546">
        <f>IMAGE("https://mitra.stanford.edu/kundaje/oak/projects/neuro-variants/variant_position/credible/roussos_2024/variant_figures/roussos_2024.childhood.GLU/rs113888150_profile_position.png",4,220,900)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0.148183886</v>
      </c>
      <c r="G2547" t="n">
        <v>0.0167354839057228</v>
      </c>
      <c r="H2547" t="n">
        <v>0.0276522837924582</v>
      </c>
      <c r="I2547" t="n">
        <v>0.030194445408779</v>
      </c>
      <c r="J2547" t="n">
        <v>0.0466512821041136</v>
      </c>
      <c r="K2547" t="n">
        <v>0.3592979118310719</v>
      </c>
      <c r="L2547" t="b">
        <v>1</v>
      </c>
      <c r="M2547" t="b">
        <v>0</v>
      </c>
      <c r="N2547" t="inlineStr">
        <is>
          <t>alt</t>
        </is>
      </c>
      <c r="O2547" t="n">
        <v>45</v>
      </c>
      <c r="P2547" t="n">
        <v>0.00641</v>
      </c>
      <c r="Q2547" t="n">
        <v>40</v>
      </c>
      <c r="R2547" t="n">
        <v>0.04663</v>
      </c>
      <c r="S2547">
        <f>IMAGE("https://mitra.stanford.edu/kundaje/oak/projects/neuro-variants/variant_position/credible/roussos_2024/variant_figures/roussos_2024.childhood.GLU/rs72862271_count_position.png",4,220,900)</f>
        <v/>
      </c>
      <c r="T2547">
        <f>IMAGE("https://mitra.stanford.edu/kundaje/oak/projects/neuro-variants/variant_position/credible/roussos_2024/variant_figures/roussos_2024.childhood.GLU/rs72862271_profile_position.png",4,220,900)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0.0285764466</v>
      </c>
      <c r="G2548" t="n">
        <v>0.3412520828007583</v>
      </c>
      <c r="H2548" t="n">
        <v>0.0209516938818368</v>
      </c>
      <c r="I2548" t="n">
        <v>0.08586678736097721</v>
      </c>
      <c r="J2548" t="n">
        <v>0.1509235888613019</v>
      </c>
      <c r="K2548" t="n">
        <v>0.1852440433260778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0.05112</v>
      </c>
      <c r="Q2548" t="n">
        <v>100</v>
      </c>
      <c r="R2548" t="n">
        <v>0.457</v>
      </c>
      <c r="S2548">
        <f>IMAGE("https://mitra.stanford.edu/kundaje/oak/projects/neuro-variants/variant_position/credible/roussos_2024/variant_figures/roussos_2024.childhood.GLU/rs1812423_count_position.png",4,220,900)</f>
        <v/>
      </c>
      <c r="T2548">
        <f>IMAGE("https://mitra.stanford.edu/kundaje/oak/projects/neuro-variants/variant_position/credible/roussos_2024/variant_figures/roussos_2024.childhood.GLU/rs1812423_profile_position.png",4,220,900)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-0.137842958</v>
      </c>
      <c r="G2549" t="n">
        <v>0.0207271877499251</v>
      </c>
      <c r="H2549" t="n">
        <v>0.0311302363654301</v>
      </c>
      <c r="I2549" t="n">
        <v>0.0184347242002121</v>
      </c>
      <c r="J2549" t="n">
        <v>0.0329349830529427</v>
      </c>
      <c r="K2549" t="n">
        <v>0.4154516531625998</v>
      </c>
      <c r="L2549" t="b">
        <v>1</v>
      </c>
      <c r="M2549" t="b">
        <v>0</v>
      </c>
      <c r="N2549" t="inlineStr">
        <is>
          <t>ref</t>
        </is>
      </c>
      <c r="O2549" t="n">
        <v>100</v>
      </c>
      <c r="P2549" t="n">
        <v>0.00586</v>
      </c>
      <c r="Q2549" t="n">
        <v>70</v>
      </c>
      <c r="R2549" t="n">
        <v>0.0786</v>
      </c>
      <c r="S2549">
        <f>IMAGE("https://mitra.stanford.edu/kundaje/oak/projects/neuro-variants/variant_position/credible/roussos_2024/variant_figures/roussos_2024.childhood.GLU/rs9878581_count_position.png",4,220,900)</f>
        <v/>
      </c>
      <c r="T2549">
        <f>IMAGE("https://mitra.stanford.edu/kundaje/oak/projects/neuro-variants/variant_position/credible/roussos_2024/variant_figures/roussos_2024.childhood.GLU/rs9878581_profile_position.png",4,220,900)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-0.1216633308</v>
      </c>
      <c r="G2550" t="n">
        <v>0.0296219249360698</v>
      </c>
      <c r="H2550" t="n">
        <v>0.0236947772416879</v>
      </c>
      <c r="I2550" t="n">
        <v>0.0543976096876127</v>
      </c>
      <c r="J2550" t="n">
        <v>0.0052829488909721</v>
      </c>
      <c r="K2550" t="n">
        <v>0.6789270330864383</v>
      </c>
      <c r="L2550" t="b">
        <v>0</v>
      </c>
      <c r="M2550" t="b">
        <v>0</v>
      </c>
      <c r="N2550" t="inlineStr">
        <is>
          <t>ref</t>
        </is>
      </c>
      <c r="O2550" t="n">
        <v>-100</v>
      </c>
      <c r="P2550" t="n">
        <v>0.01029</v>
      </c>
      <c r="Q2550" t="n">
        <v>-40</v>
      </c>
      <c r="R2550" t="n">
        <v>0.08452999999999999</v>
      </c>
      <c r="S2550">
        <f>IMAGE("https://mitra.stanford.edu/kundaje/oak/projects/neuro-variants/variant_position/credible/roussos_2024/variant_figures/roussos_2024.childhood.GLU/rs34054543_count_position.png",4,220,900)</f>
        <v/>
      </c>
      <c r="T2550">
        <f>IMAGE("https://mitra.stanford.edu/kundaje/oak/projects/neuro-variants/variant_position/credible/roussos_2024/variant_figures/roussos_2024.childhood.GLU/rs34054543_profile_position.png",4,220,900)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-0.07879973139999991</v>
      </c>
      <c r="G2551" t="n">
        <v>0.0785627427635647</v>
      </c>
      <c r="H2551" t="n">
        <v>0.0193511594353136</v>
      </c>
      <c r="I2551" t="n">
        <v>0.1170321901663087</v>
      </c>
      <c r="J2551" t="n">
        <v>0.6407635962788589</v>
      </c>
      <c r="K2551" t="n">
        <v>0.0212765469551625</v>
      </c>
      <c r="L2551" t="b">
        <v>0</v>
      </c>
      <c r="M2551" t="b">
        <v>0</v>
      </c>
      <c r="N2551" t="inlineStr">
        <is>
          <t>ref</t>
        </is>
      </c>
      <c r="O2551" t="n">
        <v>30</v>
      </c>
      <c r="P2551" t="n">
        <v>0.007256</v>
      </c>
      <c r="Q2551" t="n">
        <v>90</v>
      </c>
      <c r="R2551" t="n">
        <v>0.02325</v>
      </c>
      <c r="S2551">
        <f>IMAGE("https://mitra.stanford.edu/kundaje/oak/projects/neuro-variants/variant_position/credible/roussos_2024/variant_figures/roussos_2024.childhood.GLU/rs7627777_count_position.png",4,220,900)</f>
        <v/>
      </c>
      <c r="T2551">
        <f>IMAGE("https://mitra.stanford.edu/kundaje/oak/projects/neuro-variants/variant_position/credible/roussos_2024/variant_figures/roussos_2024.childhood.GLU/rs7627777_profile_position.png",4,220,900)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-0.047032922</v>
      </c>
      <c r="G2552" t="n">
        <v>0.2111827731446188</v>
      </c>
      <c r="H2552" t="n">
        <v>0.0247618349959148</v>
      </c>
      <c r="I2552" t="n">
        <v>0.0455346715146632</v>
      </c>
      <c r="J2552" t="n">
        <v>0.6663788929296259</v>
      </c>
      <c r="K2552" t="n">
        <v>0.0183510384076866</v>
      </c>
      <c r="L2552" t="b">
        <v>0</v>
      </c>
      <c r="M2552" t="b">
        <v>0</v>
      </c>
      <c r="N2552" t="inlineStr">
        <is>
          <t>ref</t>
        </is>
      </c>
      <c r="O2552" t="n">
        <v>-100</v>
      </c>
      <c r="P2552" t="n">
        <v>0.01935</v>
      </c>
      <c r="Q2552" t="n">
        <v>-30</v>
      </c>
      <c r="R2552" t="n">
        <v>0.0105</v>
      </c>
      <c r="S2552">
        <f>IMAGE("https://mitra.stanford.edu/kundaje/oak/projects/neuro-variants/variant_position/credible/roussos_2024/variant_figures/roussos_2024.childhood.GLU/rs140503691_count_position.png",4,220,900)</f>
        <v/>
      </c>
      <c r="T2552">
        <f>IMAGE("https://mitra.stanford.edu/kundaje/oak/projects/neuro-variants/variant_position/credible/roussos_2024/variant_figures/roussos_2024.childhood.GLU/rs140503691_profile_position.png",4,220,900)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0.076898512</v>
      </c>
      <c r="G2553" t="n">
        <v>0.0929364821549485</v>
      </c>
      <c r="H2553" t="n">
        <v>0.0406440635843487</v>
      </c>
      <c r="I2553" t="n">
        <v>0.0073401025790479</v>
      </c>
      <c r="J2553" t="n">
        <v>0.5524627319274316</v>
      </c>
      <c r="K2553" t="n">
        <v>0.0327734540948575</v>
      </c>
      <c r="L2553" t="b">
        <v>1</v>
      </c>
      <c r="M2553" t="b">
        <v>1</v>
      </c>
      <c r="N2553" t="inlineStr">
        <is>
          <t>alt</t>
        </is>
      </c>
      <c r="O2553" t="n">
        <v>-100</v>
      </c>
      <c r="P2553" t="n">
        <v>0.02869</v>
      </c>
      <c r="Q2553" t="n">
        <v>50</v>
      </c>
      <c r="R2553" t="n">
        <v>0.0515</v>
      </c>
      <c r="S2553">
        <f>IMAGE("https://mitra.stanford.edu/kundaje/oak/projects/neuro-variants/variant_position/credible/roussos_2024/variant_figures/roussos_2024.childhood.GLU/rs10212378_count_position.png",4,220,900)</f>
        <v/>
      </c>
      <c r="T2553">
        <f>IMAGE("https://mitra.stanford.edu/kundaje/oak/projects/neuro-variants/variant_position/credible/roussos_2024/variant_figures/roussos_2024.childhood.GLU/rs10212378_profile_position.png",4,220,900)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0.122818369</v>
      </c>
      <c r="G2554" t="n">
        <v>0.028384325750385</v>
      </c>
      <c r="H2554" t="n">
        <v>0.0231313632707605</v>
      </c>
      <c r="I2554" t="n">
        <v>0.0582027491244133</v>
      </c>
      <c r="J2554" t="n">
        <v>0.0024632470355527</v>
      </c>
      <c r="K2554" t="n">
        <v>0.754488663313355</v>
      </c>
      <c r="L2554" t="b">
        <v>0</v>
      </c>
      <c r="M2554" t="b">
        <v>0</v>
      </c>
      <c r="N2554" t="inlineStr">
        <is>
          <t>alt</t>
        </is>
      </c>
      <c r="O2554" t="n">
        <v>-100</v>
      </c>
      <c r="P2554" t="n">
        <v>0.008070000000000001</v>
      </c>
      <c r="Q2554" t="n">
        <v>-100</v>
      </c>
      <c r="R2554" t="n">
        <v>0.148</v>
      </c>
      <c r="S2554">
        <f>IMAGE("https://mitra.stanford.edu/kundaje/oak/projects/neuro-variants/variant_position/credible/roussos_2024/variant_figures/roussos_2024.childhood.GLU/rs9756189_count_position.png",4,220,900)</f>
        <v/>
      </c>
      <c r="T2554">
        <f>IMAGE("https://mitra.stanford.edu/kundaje/oak/projects/neuro-variants/variant_position/credible/roussos_2024/variant_figures/roussos_2024.childhood.GLU/rs9756189_profile_position.png",4,220,900)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-0.002128199426</v>
      </c>
      <c r="G2555" t="n">
        <v>0.9123886822500368</v>
      </c>
      <c r="H2555" t="n">
        <v>0.0254604410599403</v>
      </c>
      <c r="I2555" t="n">
        <v>0.0416613429661932</v>
      </c>
      <c r="J2555" t="n">
        <v>0.009346121750955399</v>
      </c>
      <c r="K2555" t="n">
        <v>0.602689981955612</v>
      </c>
      <c r="L2555" t="b">
        <v>0</v>
      </c>
      <c r="M2555" t="b">
        <v>0</v>
      </c>
      <c r="N2555" t="inlineStr">
        <is>
          <t>ref</t>
        </is>
      </c>
      <c r="O2555" t="n">
        <v>65</v>
      </c>
      <c r="P2555" t="n">
        <v>0.00235</v>
      </c>
      <c r="Q2555" t="n">
        <v>30</v>
      </c>
      <c r="R2555" t="n">
        <v>0.04605</v>
      </c>
      <c r="S2555">
        <f>IMAGE("https://mitra.stanford.edu/kundaje/oak/projects/neuro-variants/variant_position/credible/roussos_2024/variant_figures/roussos_2024.childhood.GLU/rs3804582_count_position.png",4,220,900)</f>
        <v/>
      </c>
      <c r="T2555">
        <f>IMAGE("https://mitra.stanford.edu/kundaje/oak/projects/neuro-variants/variant_position/credible/roussos_2024/variant_figures/roussos_2024.childhood.GLU/rs3804582_profile_position.png",4,220,900)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0.136290648</v>
      </c>
      <c r="G2556" t="n">
        <v>0.0233742751254808</v>
      </c>
      <c r="H2556" t="n">
        <v>0.0211979677124938</v>
      </c>
      <c r="I2556" t="n">
        <v>0.0883312750473936</v>
      </c>
      <c r="J2556" t="n">
        <v>0.2267856223021211</v>
      </c>
      <c r="K2556" t="n">
        <v>0.1313065754299923</v>
      </c>
      <c r="L2556" t="b">
        <v>0</v>
      </c>
      <c r="M2556" t="b">
        <v>0</v>
      </c>
      <c r="N2556" t="inlineStr">
        <is>
          <t>alt</t>
        </is>
      </c>
      <c r="O2556" t="n">
        <v>0</v>
      </c>
      <c r="P2556" t="n">
        <v>0</v>
      </c>
      <c r="Q2556" t="n">
        <v>45</v>
      </c>
      <c r="R2556" t="n">
        <v>0.00757</v>
      </c>
      <c r="S2556">
        <f>IMAGE("https://mitra.stanford.edu/kundaje/oak/projects/neuro-variants/variant_position/credible/roussos_2024/variant_figures/roussos_2024.childhood.GLU/rs17635268_count_position.png",4,220,900)</f>
        <v/>
      </c>
      <c r="T2556">
        <f>IMAGE("https://mitra.stanford.edu/kundaje/oak/projects/neuro-variants/variant_position/credible/roussos_2024/variant_figures/roussos_2024.childhood.GLU/rs17635268_profile_position.png",4,220,900)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-0.0674936343999999</v>
      </c>
      <c r="G2557" t="n">
        <v>0.1057507303061264</v>
      </c>
      <c r="H2557" t="n">
        <v>0.0114035223999318</v>
      </c>
      <c r="I2557" t="n">
        <v>0.5074595498601714</v>
      </c>
      <c r="J2557" t="n">
        <v>0.1509771601059062</v>
      </c>
      <c r="K2557" t="n">
        <v>0.1867843135505127</v>
      </c>
      <c r="L2557" t="b">
        <v>0</v>
      </c>
      <c r="M2557" t="b">
        <v>0</v>
      </c>
      <c r="N2557" t="inlineStr">
        <is>
          <t>ref</t>
        </is>
      </c>
      <c r="O2557" t="n">
        <v>70</v>
      </c>
      <c r="P2557" t="n">
        <v>0.006344</v>
      </c>
      <c r="Q2557" t="n">
        <v>-20</v>
      </c>
      <c r="R2557" t="n">
        <v>0.005737</v>
      </c>
      <c r="S2557">
        <f>IMAGE("https://mitra.stanford.edu/kundaje/oak/projects/neuro-variants/variant_position/credible/roussos_2024/variant_figures/roussos_2024.childhood.GLU/rs2215709_count_position.png",4,220,900)</f>
        <v/>
      </c>
      <c r="T2557">
        <f>IMAGE("https://mitra.stanford.edu/kundaje/oak/projects/neuro-variants/variant_position/credible/roussos_2024/variant_figures/roussos_2024.childhood.GLU/rs2215709_profile_position.png",4,220,900)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-0.0319984893</v>
      </c>
      <c r="G2558" t="n">
        <v>0.340544324830796</v>
      </c>
      <c r="H2558" t="n">
        <v>0.0111930037061231</v>
      </c>
      <c r="I2558" t="n">
        <v>0.5305684395903599</v>
      </c>
      <c r="J2558" t="n">
        <v>0.0505537412302842</v>
      </c>
      <c r="K2558" t="n">
        <v>0.3564813644382439</v>
      </c>
      <c r="L2558" t="b">
        <v>0</v>
      </c>
      <c r="M2558" t="b">
        <v>0</v>
      </c>
      <c r="N2558" t="inlineStr">
        <is>
          <t>ref</t>
        </is>
      </c>
      <c r="O2558" t="n">
        <v>100</v>
      </c>
      <c r="P2558" t="n">
        <v>0.002922</v>
      </c>
      <c r="Q2558" t="n">
        <v>-45</v>
      </c>
      <c r="R2558" t="n">
        <v>0.02502</v>
      </c>
      <c r="S2558">
        <f>IMAGE("https://mitra.stanford.edu/kundaje/oak/projects/neuro-variants/variant_position/credible/roussos_2024/variant_figures/roussos_2024.childhood.GLU/rs17635696_count_position.png",4,220,900)</f>
        <v/>
      </c>
      <c r="T2558">
        <f>IMAGE("https://mitra.stanford.edu/kundaje/oak/projects/neuro-variants/variant_position/credible/roussos_2024/variant_figures/roussos_2024.childhood.GLU/rs17635696_profile_position.png",4,220,900)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-0.06581631039999999</v>
      </c>
      <c r="G2559" t="n">
        <v>0.1122470328868239</v>
      </c>
      <c r="H2559" t="n">
        <v>0.0149461898217176</v>
      </c>
      <c r="I2559" t="n">
        <v>0.2505254679643577</v>
      </c>
      <c r="J2559" t="n">
        <v>0.0166503549094954</v>
      </c>
      <c r="K2559" t="n">
        <v>0.5133444036908932</v>
      </c>
      <c r="L2559" t="b">
        <v>0</v>
      </c>
      <c r="M2559" t="b">
        <v>0</v>
      </c>
      <c r="N2559" t="inlineStr">
        <is>
          <t>ref</t>
        </is>
      </c>
      <c r="O2559" t="n">
        <v>-100</v>
      </c>
      <c r="P2559" t="n">
        <v>0.0111</v>
      </c>
      <c r="Q2559" t="n">
        <v>-100</v>
      </c>
      <c r="R2559" t="n">
        <v>0.02655</v>
      </c>
      <c r="S2559">
        <f>IMAGE("https://mitra.stanford.edu/kundaje/oak/projects/neuro-variants/variant_position/credible/roussos_2024/variant_figures/roussos_2024.childhood.GLU/rs6771546_count_position.png",4,220,900)</f>
        <v/>
      </c>
      <c r="T2559">
        <f>IMAGE("https://mitra.stanford.edu/kundaje/oak/projects/neuro-variants/variant_position/credible/roussos_2024/variant_figures/roussos_2024.childhood.GLU/rs6771546_profile_position.png",4,220,900)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0.00111028024</v>
      </c>
      <c r="G2560" t="n">
        <v>0.7669844946603056</v>
      </c>
      <c r="H2560" t="n">
        <v>0.0109852577624628</v>
      </c>
      <c r="I2560" t="n">
        <v>0.5488145755335623</v>
      </c>
      <c r="J2560" t="n">
        <v>0.258180432072692</v>
      </c>
      <c r="K2560" t="n">
        <v>0.1156463757961856</v>
      </c>
      <c r="L2560" t="b">
        <v>0</v>
      </c>
      <c r="M2560" t="b">
        <v>0</v>
      </c>
      <c r="N2560" t="inlineStr">
        <is>
          <t>alt</t>
        </is>
      </c>
      <c r="O2560" t="n">
        <v>-80</v>
      </c>
      <c r="P2560" t="n">
        <v>0.002205</v>
      </c>
      <c r="Q2560" t="n">
        <v>75</v>
      </c>
      <c r="R2560" t="n">
        <v>0.0727</v>
      </c>
      <c r="S2560">
        <f>IMAGE("https://mitra.stanford.edu/kundaje/oak/projects/neuro-variants/variant_position/credible/roussos_2024/variant_figures/roussos_2024.childhood.GLU/rs7609971_count_position.png",4,220,900)</f>
        <v/>
      </c>
      <c r="T2560">
        <f>IMAGE("https://mitra.stanford.edu/kundaje/oak/projects/neuro-variants/variant_position/credible/roussos_2024/variant_figures/roussos_2024.childhood.GLU/rs7609971_profile_position.png",4,220,900)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-0.0379171126</v>
      </c>
      <c r="G2561" t="n">
        <v>0.2728981141829509</v>
      </c>
      <c r="H2561" t="n">
        <v>0.0087651376451211</v>
      </c>
      <c r="I2561" t="n">
        <v>0.7877413065881546</v>
      </c>
      <c r="J2561" t="n">
        <v>0.0394088619201169</v>
      </c>
      <c r="K2561" t="n">
        <v>0.3877026683675284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0.12244</v>
      </c>
      <c r="Q2561" t="n">
        <v>-70</v>
      </c>
      <c r="R2561" t="n">
        <v>0.1236</v>
      </c>
      <c r="S2561">
        <f>IMAGE("https://mitra.stanford.edu/kundaje/oak/projects/neuro-variants/variant_position/credible/roussos_2024/variant_figures/roussos_2024.childhood.GLU/rs58621288_count_position.png",4,220,900)</f>
        <v/>
      </c>
      <c r="T2561">
        <f>IMAGE("https://mitra.stanford.edu/kundaje/oak/projects/neuro-variants/variant_position/credible/roussos_2024/variant_figures/roussos_2024.childhood.GLU/rs58621288_profile_position.png",4,220,900)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-0.0035711655699999</v>
      </c>
      <c r="G2562" t="n">
        <v>0.869755286311924</v>
      </c>
      <c r="H2562" t="n">
        <v>0.0102386307818749</v>
      </c>
      <c r="I2562" t="n">
        <v>0.6317067137703742</v>
      </c>
      <c r="J2562" t="n">
        <v>0.0168615492391852</v>
      </c>
      <c r="K2562" t="n">
        <v>0.5272998685454576</v>
      </c>
      <c r="L2562" t="b">
        <v>0</v>
      </c>
      <c r="M2562" t="b">
        <v>0</v>
      </c>
      <c r="N2562" t="inlineStr">
        <is>
          <t>ref</t>
        </is>
      </c>
      <c r="O2562" t="n">
        <v>90</v>
      </c>
      <c r="P2562" t="n">
        <v>0.006546</v>
      </c>
      <c r="Q2562" t="n">
        <v>90</v>
      </c>
      <c r="R2562" t="n">
        <v>0.2172</v>
      </c>
      <c r="S2562">
        <f>IMAGE("https://mitra.stanford.edu/kundaje/oak/projects/neuro-variants/variant_position/credible/roussos_2024/variant_figures/roussos_2024.childhood.GLU/rs2624821_count_position.png",4,220,900)</f>
        <v/>
      </c>
      <c r="T2562">
        <f>IMAGE("https://mitra.stanford.edu/kundaje/oak/projects/neuro-variants/variant_position/credible/roussos_2024/variant_figures/roussos_2024.childhood.GLU/rs2624821_profile_position.png",4,220,900)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-0.00369192862</v>
      </c>
      <c r="G2563" t="n">
        <v>0.7924179988529635</v>
      </c>
      <c r="H2563" t="n">
        <v>0.0086205065589049</v>
      </c>
      <c r="I2563" t="n">
        <v>0.8160741207027984</v>
      </c>
      <c r="J2563" t="n">
        <v>0.1522226915429548</v>
      </c>
      <c r="K2563" t="n">
        <v>0.1912084616202345</v>
      </c>
      <c r="L2563" t="b">
        <v>0</v>
      </c>
      <c r="M2563" t="b">
        <v>0</v>
      </c>
      <c r="N2563" t="inlineStr">
        <is>
          <t>ref</t>
        </is>
      </c>
      <c r="O2563" t="n">
        <v>-30</v>
      </c>
      <c r="P2563" t="n">
        <v>0.0009003</v>
      </c>
      <c r="Q2563" t="n">
        <v>-100</v>
      </c>
      <c r="R2563" t="n">
        <v>0.0713</v>
      </c>
      <c r="S2563">
        <f>IMAGE("https://mitra.stanford.edu/kundaje/oak/projects/neuro-variants/variant_position/credible/roussos_2024/variant_figures/roussos_2024.childhood.GLU/rs62262138_count_position.png",4,220,900)</f>
        <v/>
      </c>
      <c r="T2563">
        <f>IMAGE("https://mitra.stanford.edu/kundaje/oak/projects/neuro-variants/variant_position/credible/roussos_2024/variant_figures/roussos_2024.childhood.GLU/rs62262138_profile_position.png",4,220,900)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-0.0295198256</v>
      </c>
      <c r="G2564" t="n">
        <v>0.3404934551518386</v>
      </c>
      <c r="H2564" t="n">
        <v>0.0142679339077615</v>
      </c>
      <c r="I2564" t="n">
        <v>0.2871850855967738</v>
      </c>
      <c r="J2564" t="n">
        <v>0.349211369466451</v>
      </c>
      <c r="K2564" t="n">
        <v>0.0791740957230611</v>
      </c>
      <c r="L2564" t="b">
        <v>0</v>
      </c>
      <c r="M2564" t="b">
        <v>0</v>
      </c>
      <c r="N2564" t="inlineStr">
        <is>
          <t>ref</t>
        </is>
      </c>
      <c r="O2564" t="n">
        <v>95</v>
      </c>
      <c r="P2564" t="n">
        <v>0.05457</v>
      </c>
      <c r="Q2564" t="n">
        <v>80</v>
      </c>
      <c r="R2564" t="n">
        <v>0.2568</v>
      </c>
      <c r="S2564">
        <f>IMAGE("https://mitra.stanford.edu/kundaje/oak/projects/neuro-variants/variant_position/credible/roussos_2024/variant_figures/roussos_2024.childhood.GLU/rs199956414_count_position.png",4,220,900)</f>
        <v/>
      </c>
      <c r="T2564">
        <f>IMAGE("https://mitra.stanford.edu/kundaje/oak/projects/neuro-variants/variant_position/credible/roussos_2024/variant_figures/roussos_2024.childhood.GLU/rs199956414_profile_position.png",4,220,900)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-0.282706352</v>
      </c>
      <c r="G2565" t="n">
        <v>0.0027317202748136</v>
      </c>
      <c r="H2565" t="n">
        <v>0.0420524358210472</v>
      </c>
      <c r="I2565" t="n">
        <v>0.0062735948073968</v>
      </c>
      <c r="J2565" t="n">
        <v>0.364484325259872</v>
      </c>
      <c r="K2565" t="n">
        <v>0.07410545026195341</v>
      </c>
      <c r="L2565" t="b">
        <v>1</v>
      </c>
      <c r="M2565" t="b">
        <v>1</v>
      </c>
      <c r="N2565" t="inlineStr">
        <is>
          <t>ref</t>
        </is>
      </c>
      <c r="O2565" t="n">
        <v>-60</v>
      </c>
      <c r="P2565" t="n">
        <v>0.02356</v>
      </c>
      <c r="Q2565" t="n">
        <v>-100</v>
      </c>
      <c r="R2565" t="n">
        <v>0.3757</v>
      </c>
      <c r="S2565">
        <f>IMAGE("https://mitra.stanford.edu/kundaje/oak/projects/neuro-variants/variant_position/credible/roussos_2024/variant_figures/roussos_2024.childhood.GLU/rs4688690_count_position.png",4,220,900)</f>
        <v/>
      </c>
      <c r="T2565">
        <f>IMAGE("https://mitra.stanford.edu/kundaje/oak/projects/neuro-variants/variant_position/credible/roussos_2024/variant_figures/roussos_2024.childhood.GLU/rs4688690_profile_position.png",4,220,900)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-0.0162403474</v>
      </c>
      <c r="G2566" t="n">
        <v>0.5346935466179632</v>
      </c>
      <c r="H2566" t="n">
        <v>0.0475364587065135</v>
      </c>
      <c r="I2566" t="n">
        <v>0.003310638530226</v>
      </c>
      <c r="J2566" t="n">
        <v>0.0126912338899934</v>
      </c>
      <c r="K2566" t="n">
        <v>0.5545195915199707</v>
      </c>
      <c r="L2566" t="b">
        <v>1</v>
      </c>
      <c r="M2566" t="b">
        <v>0</v>
      </c>
      <c r="N2566" t="inlineStr">
        <is>
          <t>ref</t>
        </is>
      </c>
      <c r="O2566" t="n">
        <v>-70</v>
      </c>
      <c r="P2566" t="n">
        <v>0.0119</v>
      </c>
      <c r="Q2566" t="n">
        <v>45</v>
      </c>
      <c r="R2566" t="n">
        <v>0.1027</v>
      </c>
      <c r="S2566">
        <f>IMAGE("https://mitra.stanford.edu/kundaje/oak/projects/neuro-variants/variant_position/credible/roussos_2024/variant_figures/roussos_2024.childhood.GLU/rs111439884_count_position.png",4,220,900)</f>
        <v/>
      </c>
      <c r="T2566">
        <f>IMAGE("https://mitra.stanford.edu/kundaje/oak/projects/neuro-variants/variant_position/credible/roussos_2024/variant_figures/roussos_2024.childhood.GLU/rs111439884_profile_position.png",4,220,900)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0.0897478745999999</v>
      </c>
      <c r="G2567" t="n">
        <v>0.07688581251357481</v>
      </c>
      <c r="H2567" t="n">
        <v>0.0296439174776115</v>
      </c>
      <c r="I2567" t="n">
        <v>0.0255653403791219</v>
      </c>
      <c r="J2567" t="n">
        <v>0.0321870460609681</v>
      </c>
      <c r="K2567" t="n">
        <v>0.4178380299220641</v>
      </c>
      <c r="L2567" t="b">
        <v>0</v>
      </c>
      <c r="M2567" t="b">
        <v>0</v>
      </c>
      <c r="N2567" t="inlineStr">
        <is>
          <t>alt</t>
        </is>
      </c>
      <c r="O2567" t="n">
        <v>-45</v>
      </c>
      <c r="P2567" t="n">
        <v>0.007095</v>
      </c>
      <c r="Q2567" t="n">
        <v>-95</v>
      </c>
      <c r="R2567" t="n">
        <v>0.08057</v>
      </c>
      <c r="S2567">
        <f>IMAGE("https://mitra.stanford.edu/kundaje/oak/projects/neuro-variants/variant_position/credible/roussos_2024/variant_figures/roussos_2024.childhood.GLU/rs34080578_count_position.png",4,220,900)</f>
        <v/>
      </c>
      <c r="T2567">
        <f>IMAGE("https://mitra.stanford.edu/kundaje/oak/projects/neuro-variants/variant_position/credible/roussos_2024/variant_figures/roussos_2024.childhood.GLU/rs34080578_profile_position.png",4,220,900)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-0.06483424660000001</v>
      </c>
      <c r="G2568" t="n">
        <v>0.1161187686983698</v>
      </c>
      <c r="H2568" t="n">
        <v>0.0086925095928501</v>
      </c>
      <c r="I2568" t="n">
        <v>0.7897917479200043</v>
      </c>
      <c r="J2568" t="n">
        <v>0.0130281146012547</v>
      </c>
      <c r="K2568" t="n">
        <v>0.5523688902508648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0.0108</v>
      </c>
      <c r="Q2568" t="n">
        <v>45</v>
      </c>
      <c r="R2568" t="n">
        <v>0.03528</v>
      </c>
      <c r="S2568">
        <f>IMAGE("https://mitra.stanford.edu/kundaje/oak/projects/neuro-variants/variant_position/credible/roussos_2024/variant_figures/roussos_2024.childhood.GLU/rs2353579_count_position.png",4,220,900)</f>
        <v/>
      </c>
      <c r="T2568">
        <f>IMAGE("https://mitra.stanford.edu/kundaje/oak/projects/neuro-variants/variant_position/credible/roussos_2024/variant_figures/roussos_2024.childhood.GLU/rs2353579_profile_position.png",4,220,900)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-0.0380929202</v>
      </c>
      <c r="G2569" t="n">
        <v>0.2717973822846508</v>
      </c>
      <c r="H2569" t="n">
        <v>0.0204981554035655</v>
      </c>
      <c r="I2569" t="n">
        <v>0.0901462820996623</v>
      </c>
      <c r="J2569" t="n">
        <v>0.0079409067963365</v>
      </c>
      <c r="K2569" t="n">
        <v>0.6209869738913328</v>
      </c>
      <c r="L2569" t="b">
        <v>0</v>
      </c>
      <c r="M2569" t="b">
        <v>0</v>
      </c>
      <c r="N2569" t="inlineStr">
        <is>
          <t>ref</t>
        </is>
      </c>
      <c r="O2569" t="n">
        <v>60</v>
      </c>
      <c r="P2569" t="n">
        <v>0.005665</v>
      </c>
      <c r="Q2569" t="n">
        <v>60</v>
      </c>
      <c r="R2569" t="n">
        <v>0.062</v>
      </c>
      <c r="S2569">
        <f>IMAGE("https://mitra.stanford.edu/kundaje/oak/projects/neuro-variants/variant_position/credible/roussos_2024/variant_figures/roussos_2024.childhood.GLU/rs4688757_count_position.png",4,220,900)</f>
        <v/>
      </c>
      <c r="T2569">
        <f>IMAGE("https://mitra.stanford.edu/kundaje/oak/projects/neuro-variants/variant_position/credible/roussos_2024/variant_figures/roussos_2024.childhood.GLU/rs4688757_profile_position.png",4,220,900)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-0.0268559356</v>
      </c>
      <c r="G2570" t="n">
        <v>0.3744217557841012</v>
      </c>
      <c r="H2570" t="n">
        <v>0.0098911762336102</v>
      </c>
      <c r="I2570" t="n">
        <v>0.6774587469868482</v>
      </c>
      <c r="J2570" t="n">
        <v>0.1202983506237959</v>
      </c>
      <c r="K2570" t="n">
        <v>0.2163452996611951</v>
      </c>
      <c r="L2570" t="b">
        <v>0</v>
      </c>
      <c r="M2570" t="b">
        <v>0</v>
      </c>
      <c r="N2570" t="inlineStr">
        <is>
          <t>ref</t>
        </is>
      </c>
      <c r="O2570" t="n">
        <v>20</v>
      </c>
      <c r="P2570" t="n">
        <v>0.00203</v>
      </c>
      <c r="Q2570" t="n">
        <v>-95</v>
      </c>
      <c r="R2570" t="n">
        <v>0.1284</v>
      </c>
      <c r="S2570">
        <f>IMAGE("https://mitra.stanford.edu/kundaje/oak/projects/neuro-variants/variant_position/credible/roussos_2024/variant_figures/roussos_2024.childhood.GLU/rs6765484_count_position.png",4,220,900)</f>
        <v/>
      </c>
      <c r="T2570">
        <f>IMAGE("https://mitra.stanford.edu/kundaje/oak/projects/neuro-variants/variant_position/credible/roussos_2024/variant_figures/roussos_2024.childhood.GLU/rs6765484_profile_position.png",4,220,900)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0.0018684324699999</v>
      </c>
      <c r="G2571" t="n">
        <v>0.8223176640120732</v>
      </c>
      <c r="H2571" t="n">
        <v>0.019435439868131</v>
      </c>
      <c r="I2571" t="n">
        <v>0.1076532221298291</v>
      </c>
      <c r="J2571" t="n">
        <v>0.0066418041146836</v>
      </c>
      <c r="K2571" t="n">
        <v>0.6518097057197441</v>
      </c>
      <c r="L2571" t="b">
        <v>0</v>
      </c>
      <c r="M2571" t="b">
        <v>0</v>
      </c>
      <c r="N2571" t="inlineStr">
        <is>
          <t>alt</t>
        </is>
      </c>
      <c r="O2571" t="n">
        <v>-95</v>
      </c>
      <c r="P2571" t="n">
        <v>0.0092</v>
      </c>
      <c r="Q2571" t="n">
        <v>100</v>
      </c>
      <c r="R2571" t="n">
        <v>0.09533999999999999</v>
      </c>
      <c r="S2571">
        <f>IMAGE("https://mitra.stanford.edu/kundaje/oak/projects/neuro-variants/variant_position/credible/roussos_2024/variant_figures/roussos_2024.childhood.GLU/rs7634917_count_position.png",4,220,900)</f>
        <v/>
      </c>
      <c r="T2571">
        <f>IMAGE("https://mitra.stanford.edu/kundaje/oak/projects/neuro-variants/variant_position/credible/roussos_2024/variant_figures/roussos_2024.childhood.GLU/rs7634917_profile_position.png",4,220,900)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-0.0537528974</v>
      </c>
      <c r="G2572" t="n">
        <v>0.1769331322696837</v>
      </c>
      <c r="H2572" t="n">
        <v>0.0435483397112741</v>
      </c>
      <c r="I2572" t="n">
        <v>0.0048470453337614</v>
      </c>
      <c r="J2572" t="n">
        <v>0.0332502292231138</v>
      </c>
      <c r="K2572" t="n">
        <v>0.4143808200126286</v>
      </c>
      <c r="L2572" t="b">
        <v>1</v>
      </c>
      <c r="M2572" t="b">
        <v>0</v>
      </c>
      <c r="N2572" t="inlineStr">
        <is>
          <t>ref</t>
        </is>
      </c>
      <c r="O2572" t="n">
        <v>-60</v>
      </c>
      <c r="P2572" t="n">
        <v>0.006866</v>
      </c>
      <c r="Q2572" t="n">
        <v>-50</v>
      </c>
      <c r="R2572" t="n">
        <v>0.03845</v>
      </c>
      <c r="S2572">
        <f>IMAGE("https://mitra.stanford.edu/kundaje/oak/projects/neuro-variants/variant_position/credible/roussos_2024/variant_figures/roussos_2024.childhood.GLU/rs75729494_count_position.png",4,220,900)</f>
        <v/>
      </c>
      <c r="T2572">
        <f>IMAGE("https://mitra.stanford.edu/kundaje/oak/projects/neuro-variants/variant_position/credible/roussos_2024/variant_figures/roussos_2024.childhood.GLU/rs75729494_profile_position.png",4,220,900)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-0.0060545756</v>
      </c>
      <c r="G2573" t="n">
        <v>0.7788403916751276</v>
      </c>
      <c r="H2573" t="n">
        <v>0.0215615093296696</v>
      </c>
      <c r="I2573" t="n">
        <v>0.0744741728166823</v>
      </c>
      <c r="J2573" t="n">
        <v>0.005618799385991</v>
      </c>
      <c r="K2573" t="n">
        <v>0.6616249857839298</v>
      </c>
      <c r="L2573" t="b">
        <v>0</v>
      </c>
      <c r="M2573" t="b">
        <v>0</v>
      </c>
      <c r="N2573" t="inlineStr">
        <is>
          <t>ref</t>
        </is>
      </c>
      <c r="O2573" t="n">
        <v>-100</v>
      </c>
      <c r="P2573" t="n">
        <v>0.00893</v>
      </c>
      <c r="Q2573" t="n">
        <v>100</v>
      </c>
      <c r="R2573" t="n">
        <v>0.1245</v>
      </c>
      <c r="S2573">
        <f>IMAGE("https://mitra.stanford.edu/kundaje/oak/projects/neuro-variants/variant_position/credible/roussos_2024/variant_figures/roussos_2024.childhood.GLU/rs6446193_count_position.png",4,220,900)</f>
        <v/>
      </c>
      <c r="T2573">
        <f>IMAGE("https://mitra.stanford.edu/kundaje/oak/projects/neuro-variants/variant_position/credible/roussos_2024/variant_figures/roussos_2024.childhood.GLU/rs6446193_profile_position.png",4,220,900)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-0.2059188559999999</v>
      </c>
      <c r="G2574" t="n">
        <v>0.0069706937246872</v>
      </c>
      <c r="H2574" t="n">
        <v>0.0444785806718322</v>
      </c>
      <c r="I2574" t="n">
        <v>0.0046079011237882</v>
      </c>
      <c r="J2574" t="n">
        <v>0.07146094965333211</v>
      </c>
      <c r="K2574" t="n">
        <v>0.3003611884499876</v>
      </c>
      <c r="L2574" t="b">
        <v>1</v>
      </c>
      <c r="M2574" t="b">
        <v>1</v>
      </c>
      <c r="N2574" t="inlineStr">
        <is>
          <t>ref</t>
        </is>
      </c>
      <c r="O2574" t="n">
        <v>5</v>
      </c>
      <c r="P2574" t="n">
        <v>0.0008545</v>
      </c>
      <c r="Q2574" t="n">
        <v>85</v>
      </c>
      <c r="R2574" t="n">
        <v>0.2332</v>
      </c>
      <c r="S2574">
        <f>IMAGE("https://mitra.stanford.edu/kundaje/oak/projects/neuro-variants/variant_position/credible/roussos_2024/variant_figures/roussos_2024.childhood.GLU/rs11130240_count_position.png",4,220,900)</f>
        <v/>
      </c>
      <c r="T2574">
        <f>IMAGE("https://mitra.stanford.edu/kundaje/oak/projects/neuro-variants/variant_position/credible/roussos_2024/variant_figures/roussos_2024.childhood.GLU/rs11130240_profile_position.png",4,220,900)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-0.181541618</v>
      </c>
      <c r="G2575" t="n">
        <v>0.0111709897041202</v>
      </c>
      <c r="H2575" t="n">
        <v>0.0240967741402647</v>
      </c>
      <c r="I2575" t="n">
        <v>0.055439090972335</v>
      </c>
      <c r="J2575" t="n">
        <v>0.0880278570471941</v>
      </c>
      <c r="K2575" t="n">
        <v>0.267449411941442</v>
      </c>
      <c r="L2575" t="b">
        <v>1</v>
      </c>
      <c r="M2575" t="b">
        <v>0</v>
      </c>
      <c r="N2575" t="inlineStr">
        <is>
          <t>ref</t>
        </is>
      </c>
      <c r="O2575" t="n">
        <v>-95</v>
      </c>
      <c r="P2575" t="n">
        <v>0.02527</v>
      </c>
      <c r="Q2575" t="n">
        <v>-15</v>
      </c>
      <c r="R2575" t="n">
        <v>0.0188</v>
      </c>
      <c r="S2575">
        <f>IMAGE("https://mitra.stanford.edu/kundaje/oak/projects/neuro-variants/variant_position/credible/roussos_2024/variant_figures/roussos_2024.childhood.GLU/rs9866695_count_position.png",4,220,900)</f>
        <v/>
      </c>
      <c r="T2575">
        <f>IMAGE("https://mitra.stanford.edu/kundaje/oak/projects/neuro-variants/variant_position/credible/roussos_2024/variant_figures/roussos_2024.childhood.GLU/rs9866695_profile_position.png",4,220,900)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0.00873125674</v>
      </c>
      <c r="G2576" t="n">
        <v>0.5336535953119532</v>
      </c>
      <c r="H2576" t="n">
        <v>0.0214656662032702</v>
      </c>
      <c r="I2576" t="n">
        <v>0.0782400588054344</v>
      </c>
      <c r="J2576" t="n">
        <v>0.0387680674173508</v>
      </c>
      <c r="K2576" t="n">
        <v>0.387711092330572</v>
      </c>
      <c r="L2576" t="b">
        <v>0</v>
      </c>
      <c r="M2576" t="b">
        <v>0</v>
      </c>
      <c r="N2576" t="inlineStr">
        <is>
          <t>alt</t>
        </is>
      </c>
      <c r="O2576" t="n">
        <v>-65</v>
      </c>
      <c r="P2576" t="n">
        <v>0.00856</v>
      </c>
      <c r="Q2576" t="n">
        <v>-75</v>
      </c>
      <c r="R2576" t="n">
        <v>0.1643</v>
      </c>
      <c r="S2576">
        <f>IMAGE("https://mitra.stanford.edu/kundaje/oak/projects/neuro-variants/variant_position/credible/roussos_2024/variant_figures/roussos_2024.childhood.GLU/rs12486470_count_position.png",4,220,900)</f>
        <v/>
      </c>
      <c r="T2576">
        <f>IMAGE("https://mitra.stanford.edu/kundaje/oak/projects/neuro-variants/variant_position/credible/roussos_2024/variant_figures/roussos_2024.childhood.GLU/rs12486470_profile_position.png",4,220,900)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0.0896069478</v>
      </c>
      <c r="G2577" t="n">
        <v>0.0666981033659817</v>
      </c>
      <c r="H2577" t="n">
        <v>0.0136339509950186</v>
      </c>
      <c r="I2577" t="n">
        <v>0.3206491681415145</v>
      </c>
      <c r="J2577" t="n">
        <v>0.0454026600183378</v>
      </c>
      <c r="K2577" t="n">
        <v>0.3686593832892634</v>
      </c>
      <c r="L2577" t="b">
        <v>0</v>
      </c>
      <c r="M2577" t="b">
        <v>0</v>
      </c>
      <c r="N2577" t="inlineStr">
        <is>
          <t>alt</t>
        </is>
      </c>
      <c r="O2577" t="n">
        <v>-100</v>
      </c>
      <c r="P2577" t="n">
        <v>0.077</v>
      </c>
      <c r="Q2577" t="n">
        <v>0</v>
      </c>
      <c r="R2577" t="n">
        <v>0</v>
      </c>
      <c r="S2577">
        <f>IMAGE("https://mitra.stanford.edu/kundaje/oak/projects/neuro-variants/variant_position/credible/roussos_2024/variant_figures/roussos_2024.childhood.GLU/rs62263590_count_position.png",4,220,900)</f>
        <v/>
      </c>
      <c r="T2577">
        <f>IMAGE("https://mitra.stanford.edu/kundaje/oak/projects/neuro-variants/variant_position/credible/roussos_2024/variant_figures/roussos_2024.childhood.GLU/rs62263590_profile_position.png",4,220,900)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0.00543187328</v>
      </c>
      <c r="G2578" t="n">
        <v>0.6414993261555414</v>
      </c>
      <c r="H2578" t="n">
        <v>0.0108743792766831</v>
      </c>
      <c r="I2578" t="n">
        <v>0.5543667480357848</v>
      </c>
      <c r="J2578" t="n">
        <v>0.0491227708696054</v>
      </c>
      <c r="K2578" t="n">
        <v>0.3555235546942064</v>
      </c>
      <c r="L2578" t="b">
        <v>0</v>
      </c>
      <c r="M2578" t="b">
        <v>0</v>
      </c>
      <c r="N2578" t="inlineStr">
        <is>
          <t>alt</t>
        </is>
      </c>
      <c r="O2578" t="n">
        <v>-65</v>
      </c>
      <c r="P2578" t="n">
        <v>0.004063</v>
      </c>
      <c r="Q2578" t="n">
        <v>5</v>
      </c>
      <c r="R2578" t="n">
        <v>0.002304</v>
      </c>
      <c r="S2578">
        <f>IMAGE("https://mitra.stanford.edu/kundaje/oak/projects/neuro-variants/variant_position/credible/roussos_2024/variant_figures/roussos_2024.childhood.GLU/rs3733133_count_position.png",4,220,900)</f>
        <v/>
      </c>
      <c r="T2578">
        <f>IMAGE("https://mitra.stanford.edu/kundaje/oak/projects/neuro-variants/variant_position/credible/roussos_2024/variant_figures/roussos_2024.childhood.GLU/rs3733133_profile_position.png",4,220,900)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-0.00641980296</v>
      </c>
      <c r="G2579" t="n">
        <v>0.7669924809308132</v>
      </c>
      <c r="H2579" t="n">
        <v>0.0116826779828243</v>
      </c>
      <c r="I2579" t="n">
        <v>0.4879274202510401</v>
      </c>
      <c r="J2579" t="n">
        <v>0.2405163443806854</v>
      </c>
      <c r="K2579" t="n">
        <v>0.1240866192291777</v>
      </c>
      <c r="L2579" t="b">
        <v>0</v>
      </c>
      <c r="M2579" t="b">
        <v>0</v>
      </c>
      <c r="N2579" t="inlineStr">
        <is>
          <t>ref</t>
        </is>
      </c>
      <c r="O2579" t="n">
        <v>-80</v>
      </c>
      <c r="P2579" t="n">
        <v>0.002747</v>
      </c>
      <c r="Q2579" t="n">
        <v>10</v>
      </c>
      <c r="R2579" t="n">
        <v>0.01907</v>
      </c>
      <c r="S2579">
        <f>IMAGE("https://mitra.stanford.edu/kundaje/oak/projects/neuro-variants/variant_position/credible/roussos_2024/variant_figures/roussos_2024.childhood.GLU/rs2624847_count_position.png",4,220,900)</f>
        <v/>
      </c>
      <c r="T2579">
        <f>IMAGE("https://mitra.stanford.edu/kundaje/oak/projects/neuro-variants/variant_position/credible/roussos_2024/variant_figures/roussos_2024.childhood.GLU/rs2624847_profile_position.png",4,220,900)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-0.0162837255</v>
      </c>
      <c r="G2580" t="n">
        <v>0.5325287546218188</v>
      </c>
      <c r="H2580" t="n">
        <v>0.0129691123060287</v>
      </c>
      <c r="I2580" t="n">
        <v>0.3763648068663831</v>
      </c>
      <c r="J2580" t="n">
        <v>0.4884584874365129</v>
      </c>
      <c r="K2580" t="n">
        <v>0.0443314878693202</v>
      </c>
      <c r="L2580" t="b">
        <v>0</v>
      </c>
      <c r="M2580" t="b">
        <v>0</v>
      </c>
      <c r="N2580" t="inlineStr">
        <is>
          <t>ref</t>
        </is>
      </c>
      <c r="O2580" t="n">
        <v>-100</v>
      </c>
      <c r="P2580" t="n">
        <v>0.01807</v>
      </c>
      <c r="Q2580" t="n">
        <v>-70</v>
      </c>
      <c r="R2580" t="n">
        <v>0.12415</v>
      </c>
      <c r="S2580">
        <f>IMAGE("https://mitra.stanford.edu/kundaje/oak/projects/neuro-variants/variant_position/credible/roussos_2024/variant_figures/roussos_2024.childhood.GLU/rs12054052_count_position.png",4,220,900)</f>
        <v/>
      </c>
      <c r="T2580">
        <f>IMAGE("https://mitra.stanford.edu/kundaje/oak/projects/neuro-variants/variant_position/credible/roussos_2024/variant_figures/roussos_2024.childhood.GLU/rs12054052_profile_position.png",4,220,900)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-0.000540261308</v>
      </c>
      <c r="G2581" t="n">
        <v>0.6964642268710061</v>
      </c>
      <c r="H2581" t="n">
        <v>0.0120358330808822</v>
      </c>
      <c r="I2581" t="n">
        <v>0.445107508736757</v>
      </c>
      <c r="J2581" t="n">
        <v>0.6171551608682663</v>
      </c>
      <c r="K2581" t="n">
        <v>0.0242255761454747</v>
      </c>
      <c r="L2581" t="b">
        <v>0</v>
      </c>
      <c r="M2581" t="b">
        <v>0</v>
      </c>
      <c r="N2581" t="inlineStr">
        <is>
          <t>ref</t>
        </is>
      </c>
      <c r="O2581" t="n">
        <v>100</v>
      </c>
      <c r="P2581" t="n">
        <v>0.000907</v>
      </c>
      <c r="Q2581" t="n">
        <v>-25</v>
      </c>
      <c r="R2581" t="n">
        <v>0.03174</v>
      </c>
      <c r="S2581">
        <f>IMAGE("https://mitra.stanford.edu/kundaje/oak/projects/neuro-variants/variant_position/credible/roussos_2024/variant_figures/roussos_2024.childhood.GLU/rs2624835_count_position.png",4,220,900)</f>
        <v/>
      </c>
      <c r="T2581">
        <f>IMAGE("https://mitra.stanford.edu/kundaje/oak/projects/neuro-variants/variant_position/credible/roussos_2024/variant_figures/roussos_2024.childhood.GLU/rs2624835_profile_position.png",4,220,900)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-0.0063132597799999</v>
      </c>
      <c r="G2582" t="n">
        <v>0.7797979516795877</v>
      </c>
      <c r="H2582" t="n">
        <v>0.0122844122434036</v>
      </c>
      <c r="I2582" t="n">
        <v>0.4283378178194278</v>
      </c>
      <c r="J2582" t="n">
        <v>0.2479235991634643</v>
      </c>
      <c r="K2582" t="n">
        <v>0.1223047139142408</v>
      </c>
      <c r="L2582" t="b">
        <v>0</v>
      </c>
      <c r="M2582" t="b">
        <v>0</v>
      </c>
      <c r="N2582" t="inlineStr">
        <is>
          <t>ref</t>
        </is>
      </c>
      <c r="O2582" t="n">
        <v>70</v>
      </c>
      <c r="P2582" t="n">
        <v>0.002396</v>
      </c>
      <c r="Q2582" t="n">
        <v>90</v>
      </c>
      <c r="R2582" t="n">
        <v>0.09875</v>
      </c>
      <c r="S2582">
        <f>IMAGE("https://mitra.stanford.edu/kundaje/oak/projects/neuro-variants/variant_position/credible/roussos_2024/variant_figures/roussos_2024.childhood.GLU/rs3755831_count_position.png",4,220,900)</f>
        <v/>
      </c>
      <c r="T2582">
        <f>IMAGE("https://mitra.stanford.edu/kundaje/oak/projects/neuro-variants/variant_position/credible/roussos_2024/variant_figures/roussos_2024.childhood.GLU/rs3755831_profile_position.png",4,220,900)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-0.042608912</v>
      </c>
      <c r="G2583" t="n">
        <v>0.2260392980258697</v>
      </c>
      <c r="H2583" t="n">
        <v>0.0111257954248862</v>
      </c>
      <c r="I2583" t="n">
        <v>0.5393940172904299</v>
      </c>
      <c r="J2583" t="n">
        <v>0.3644812346111449</v>
      </c>
      <c r="K2583" t="n">
        <v>0.07474078751255819</v>
      </c>
      <c r="L2583" t="b">
        <v>0</v>
      </c>
      <c r="M2583" t="b">
        <v>0</v>
      </c>
      <c r="N2583" t="inlineStr">
        <is>
          <t>ref</t>
        </is>
      </c>
      <c r="O2583" t="n">
        <v>-100</v>
      </c>
      <c r="P2583" t="n">
        <v>0.002342</v>
      </c>
      <c r="Q2583" t="n">
        <v>-95</v>
      </c>
      <c r="R2583" t="n">
        <v>0.0559</v>
      </c>
      <c r="S2583">
        <f>IMAGE("https://mitra.stanford.edu/kundaje/oak/projects/neuro-variants/variant_position/credible/roussos_2024/variant_figures/roussos_2024.childhood.GLU/rs4688683_count_position.png",4,220,900)</f>
        <v/>
      </c>
      <c r="T2583">
        <f>IMAGE("https://mitra.stanford.edu/kundaje/oak/projects/neuro-variants/variant_position/credible/roussos_2024/variant_figures/roussos_2024.childhood.GLU/rs4688683_profile_position.png",4,220,900)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0.02157180464</v>
      </c>
      <c r="G2584" t="n">
        <v>0.4187607686812963</v>
      </c>
      <c r="H2584" t="n">
        <v>0.0189418532275081</v>
      </c>
      <c r="I2584" t="n">
        <v>0.1177520306927006</v>
      </c>
      <c r="J2584" t="n">
        <v>0.8461392646316461</v>
      </c>
      <c r="K2584" t="n">
        <v>0.0045905720578125</v>
      </c>
      <c r="L2584" t="b">
        <v>0</v>
      </c>
      <c r="M2584" t="b">
        <v>0</v>
      </c>
      <c r="N2584" t="inlineStr">
        <is>
          <t>alt</t>
        </is>
      </c>
      <c r="O2584" t="n">
        <v>5</v>
      </c>
      <c r="P2584" t="n">
        <v>0.001343</v>
      </c>
      <c r="Q2584" t="n">
        <v>15</v>
      </c>
      <c r="R2584" t="n">
        <v>0.01074</v>
      </c>
      <c r="S2584">
        <f>IMAGE("https://mitra.stanford.edu/kundaje/oak/projects/neuro-variants/variant_position/credible/roussos_2024/variant_figures/roussos_2024.childhood.GLU/rs2236939_count_position.png",4,220,900)</f>
        <v/>
      </c>
      <c r="T2584">
        <f>IMAGE("https://mitra.stanford.edu/kundaje/oak/projects/neuro-variants/variant_position/credible/roussos_2024/variant_figures/roussos_2024.childhood.GLU/rs2236939_profile_position.png",4,220,900)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-0.0525351318</v>
      </c>
      <c r="G2585" t="n">
        <v>0.1629423045722311</v>
      </c>
      <c r="H2585" t="n">
        <v>0.008445636933734299</v>
      </c>
      <c r="I2585" t="n">
        <v>0.8338824227345139</v>
      </c>
      <c r="J2585" t="n">
        <v>0.5436399600276098</v>
      </c>
      <c r="K2585" t="n">
        <v>0.0344825923109665</v>
      </c>
      <c r="L2585" t="b">
        <v>0</v>
      </c>
      <c r="M2585" t="b">
        <v>0</v>
      </c>
      <c r="N2585" t="inlineStr">
        <is>
          <t>ref</t>
        </is>
      </c>
      <c r="O2585" t="n">
        <v>30</v>
      </c>
      <c r="P2585" t="n">
        <v>0.002853</v>
      </c>
      <c r="Q2585" t="n">
        <v>-100</v>
      </c>
      <c r="R2585" t="n">
        <v>0.02911</v>
      </c>
      <c r="S2585">
        <f>IMAGE("https://mitra.stanford.edu/kundaje/oak/projects/neuro-variants/variant_position/credible/roussos_2024/variant_figures/roussos_2024.childhood.GLU/rs2236940_count_position.png",4,220,900)</f>
        <v/>
      </c>
      <c r="T2585">
        <f>IMAGE("https://mitra.stanford.edu/kundaje/oak/projects/neuro-variants/variant_position/credible/roussos_2024/variant_figures/roussos_2024.childhood.GLU/rs2236940_profile_position.png",4,220,900)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0.01139306946</v>
      </c>
      <c r="G2586" t="n">
        <v>0.608596364380379</v>
      </c>
      <c r="H2586" t="n">
        <v>0.0236165978713391</v>
      </c>
      <c r="I2586" t="n">
        <v>0.054277930501522</v>
      </c>
      <c r="J2586" t="n">
        <v>0.6341042784880546</v>
      </c>
      <c r="K2586" t="n">
        <v>0.0223725911672709</v>
      </c>
      <c r="L2586" t="b">
        <v>0</v>
      </c>
      <c r="M2586" t="b">
        <v>0</v>
      </c>
      <c r="N2586" t="inlineStr">
        <is>
          <t>alt</t>
        </is>
      </c>
      <c r="O2586" t="n">
        <v>55</v>
      </c>
      <c r="P2586" t="n">
        <v>0.01582</v>
      </c>
      <c r="Q2586" t="n">
        <v>15</v>
      </c>
      <c r="R2586" t="n">
        <v>0.0421</v>
      </c>
      <c r="S2586">
        <f>IMAGE("https://mitra.stanford.edu/kundaje/oak/projects/neuro-variants/variant_position/credible/roussos_2024/variant_figures/roussos_2024.childhood.GLU/rs4688743_count_position.png",4,220,900)</f>
        <v/>
      </c>
      <c r="T2586">
        <f>IMAGE("https://mitra.stanford.edu/kundaje/oak/projects/neuro-variants/variant_position/credible/roussos_2024/variant_figures/roussos_2024.childhood.GLU/rs4688743_profile_position.png",4,220,900)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0.07549522879999999</v>
      </c>
      <c r="G2587" t="n">
        <v>0.0805001992492293</v>
      </c>
      <c r="H2587" t="n">
        <v>0.0143262644514531</v>
      </c>
      <c r="I2587" t="n">
        <v>0.2860432798327288</v>
      </c>
      <c r="J2587" t="n">
        <v>0.3027475867184521</v>
      </c>
      <c r="K2587" t="n">
        <v>0.09575699466421141</v>
      </c>
      <c r="L2587" t="b">
        <v>0</v>
      </c>
      <c r="M2587" t="b">
        <v>0</v>
      </c>
      <c r="N2587" t="inlineStr">
        <is>
          <t>alt</t>
        </is>
      </c>
      <c r="O2587" t="n">
        <v>65</v>
      </c>
      <c r="P2587" t="n">
        <v>0.002327</v>
      </c>
      <c r="Q2587" t="n">
        <v>100</v>
      </c>
      <c r="R2587" t="n">
        <v>0.0788</v>
      </c>
      <c r="S2587">
        <f>IMAGE("https://mitra.stanford.edu/kundaje/oak/projects/neuro-variants/variant_position/credible/roussos_2024/variant_figures/roussos_2024.childhood.GLU/rs6776145_count_position.png",4,220,900)</f>
        <v/>
      </c>
      <c r="T2587">
        <f>IMAGE("https://mitra.stanford.edu/kundaje/oak/projects/neuro-variants/variant_position/credible/roussos_2024/variant_figures/roussos_2024.childhood.GLU/rs6776145_profile_position.png",4,220,900)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0.08190306679999999</v>
      </c>
      <c r="G2588" t="n">
        <v>0.06940558714144381</v>
      </c>
      <c r="H2588" t="n">
        <v>0.0157244762657256</v>
      </c>
      <c r="I2588" t="n">
        <v>0.2156354701321527</v>
      </c>
      <c r="J2588" t="n">
        <v>0.5576704750327094</v>
      </c>
      <c r="K2588" t="n">
        <v>0.0323471855857131</v>
      </c>
      <c r="L2588" t="b">
        <v>0</v>
      </c>
      <c r="M2588" t="b">
        <v>0</v>
      </c>
      <c r="N2588" t="inlineStr">
        <is>
          <t>alt</t>
        </is>
      </c>
      <c r="O2588" t="n">
        <v>-100</v>
      </c>
      <c r="P2588" t="n">
        <v>0.00521</v>
      </c>
      <c r="Q2588" t="n">
        <v>75</v>
      </c>
      <c r="R2588" t="n">
        <v>0.1228</v>
      </c>
      <c r="S2588">
        <f>IMAGE("https://mitra.stanford.edu/kundaje/oak/projects/neuro-variants/variant_position/credible/roussos_2024/variant_figures/roussos_2024.childhood.GLU/rs28365992_count_position.png",4,220,900)</f>
        <v/>
      </c>
      <c r="T2588">
        <f>IMAGE("https://mitra.stanford.edu/kundaje/oak/projects/neuro-variants/variant_position/credible/roussos_2024/variant_figures/roussos_2024.childhood.GLU/rs28365992_profile_position.png",4,220,900)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-0.1275528616</v>
      </c>
      <c r="G2589" t="n">
        <v>0.0290701564081797</v>
      </c>
      <c r="H2589" t="n">
        <v>0.0206679023089747</v>
      </c>
      <c r="I2589" t="n">
        <v>0.095018028009281</v>
      </c>
      <c r="J2589" t="n">
        <v>0.09135648572635389</v>
      </c>
      <c r="K2589" t="n">
        <v>0.2620898280599261</v>
      </c>
      <c r="L2589" t="b">
        <v>0</v>
      </c>
      <c r="M2589" t="b">
        <v>0</v>
      </c>
      <c r="N2589" t="inlineStr">
        <is>
          <t>ref</t>
        </is>
      </c>
      <c r="O2589" t="n">
        <v>-80</v>
      </c>
      <c r="P2589" t="n">
        <v>0.0473</v>
      </c>
      <c r="Q2589" t="n">
        <v>-80</v>
      </c>
      <c r="R2589" t="n">
        <v>0.07983</v>
      </c>
      <c r="S2589">
        <f>IMAGE("https://mitra.stanford.edu/kundaje/oak/projects/neuro-variants/variant_position/credible/roussos_2024/variant_figures/roussos_2024.childhood.GLU/rs12492683_count_position.png",4,220,900)</f>
        <v/>
      </c>
      <c r="T2589">
        <f>IMAGE("https://mitra.stanford.edu/kundaje/oak/projects/neuro-variants/variant_position/credible/roussos_2024/variant_figures/roussos_2024.childhood.GLU/rs12492683_profile_position.png",4,220,900)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0.09096786160000001</v>
      </c>
      <c r="G2590" t="n">
        <v>0.0600202691210271</v>
      </c>
      <c r="H2590" t="n">
        <v>0.0278415523958373</v>
      </c>
      <c r="I2590" t="n">
        <v>0.028760357565426</v>
      </c>
      <c r="J2590" t="n">
        <v>0.2272657030710745</v>
      </c>
      <c r="K2590" t="n">
        <v>0.1311430803305256</v>
      </c>
      <c r="L2590" t="b">
        <v>0</v>
      </c>
      <c r="M2590" t="b">
        <v>0</v>
      </c>
      <c r="N2590" t="inlineStr">
        <is>
          <t>alt</t>
        </is>
      </c>
      <c r="O2590" t="n">
        <v>50</v>
      </c>
      <c r="P2590" t="n">
        <v>0.002579</v>
      </c>
      <c r="Q2590" t="n">
        <v>100</v>
      </c>
      <c r="R2590" t="n">
        <v>0.09106</v>
      </c>
      <c r="S2590">
        <f>IMAGE("https://mitra.stanford.edu/kundaje/oak/projects/neuro-variants/variant_position/credible/roussos_2024/variant_figures/roussos_2024.childhood.GLU/rs12054403_count_position.png",4,220,900)</f>
        <v/>
      </c>
      <c r="T2590">
        <f>IMAGE("https://mitra.stanford.edu/kundaje/oak/projects/neuro-variants/variant_position/credible/roussos_2024/variant_figures/roussos_2024.childhood.GLU/rs12054403_profile_position.png",4,220,900)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0.04268669032</v>
      </c>
      <c r="G2591" t="n">
        <v>0.2077913776355252</v>
      </c>
      <c r="H2591" t="n">
        <v>0.0217150343640812</v>
      </c>
      <c r="I2591" t="n">
        <v>0.07326233474878301</v>
      </c>
      <c r="J2591" t="n">
        <v>0.3814725910968712</v>
      </c>
      <c r="K2591" t="n">
        <v>0.0699518835706032</v>
      </c>
      <c r="L2591" t="b">
        <v>0</v>
      </c>
      <c r="M2591" t="b">
        <v>0</v>
      </c>
      <c r="N2591" t="inlineStr">
        <is>
          <t>alt</t>
        </is>
      </c>
      <c r="O2591" t="n">
        <v>-95</v>
      </c>
      <c r="P2591" t="n">
        <v>0.002773</v>
      </c>
      <c r="Q2591" t="n">
        <v>-100</v>
      </c>
      <c r="R2591" t="n">
        <v>0.10864</v>
      </c>
      <c r="S2591">
        <f>IMAGE("https://mitra.stanford.edu/kundaje/oak/projects/neuro-variants/variant_position/credible/roussos_2024/variant_figures/roussos_2024.childhood.GLU/rs2236947_count_position.png",4,220,900)</f>
        <v/>
      </c>
      <c r="T2591">
        <f>IMAGE("https://mitra.stanford.edu/kundaje/oak/projects/neuro-variants/variant_position/credible/roussos_2024/variant_figures/roussos_2024.childhood.GLU/rs2236947_profile_position.png",4,220,900)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0.0011165804999999</v>
      </c>
      <c r="G2592" t="n">
        <v>0.6165880450911395</v>
      </c>
      <c r="H2592" t="n">
        <v>0.022127759246185</v>
      </c>
      <c r="I2592" t="n">
        <v>0.0704021713151147</v>
      </c>
      <c r="J2592" t="n">
        <v>0.3529984443734739</v>
      </c>
      <c r="K2592" t="n">
        <v>0.07841911573967229</v>
      </c>
      <c r="L2592" t="b">
        <v>0</v>
      </c>
      <c r="M2592" t="b">
        <v>0</v>
      </c>
      <c r="N2592" t="inlineStr">
        <is>
          <t>alt</t>
        </is>
      </c>
      <c r="O2592" t="n">
        <v>40</v>
      </c>
      <c r="P2592" t="n">
        <v>0.003479</v>
      </c>
      <c r="Q2592" t="n">
        <v>15</v>
      </c>
      <c r="R2592" t="n">
        <v>0.02188</v>
      </c>
      <c r="S2592">
        <f>IMAGE("https://mitra.stanford.edu/kundaje/oak/projects/neuro-variants/variant_position/credible/roussos_2024/variant_figures/roussos_2024.childhood.GLU/rs58181992_count_position.png",4,220,900)</f>
        <v/>
      </c>
      <c r="T2592">
        <f>IMAGE("https://mitra.stanford.edu/kundaje/oak/projects/neuro-variants/variant_position/credible/roussos_2024/variant_figures/roussos_2024.childhood.GLU/rs58181992_profile_position.png",4,220,900)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0.08848686879999999</v>
      </c>
      <c r="G2593" t="n">
        <v>0.0593398934440218</v>
      </c>
      <c r="H2593" t="n">
        <v>0.0191771475934679</v>
      </c>
      <c r="I2593" t="n">
        <v>0.1142599256047447</v>
      </c>
      <c r="J2593" t="n">
        <v>0.3082355486416598</v>
      </c>
      <c r="K2593" t="n">
        <v>0.0935886695174571</v>
      </c>
      <c r="L2593" t="b">
        <v>0</v>
      </c>
      <c r="M2593" t="b">
        <v>0</v>
      </c>
      <c r="N2593" t="inlineStr">
        <is>
          <t>alt</t>
        </is>
      </c>
      <c r="O2593" t="n">
        <v>90</v>
      </c>
      <c r="P2593" t="n">
        <v>0.004494</v>
      </c>
      <c r="Q2593" t="n">
        <v>20</v>
      </c>
      <c r="R2593" t="n">
        <v>0.003784</v>
      </c>
      <c r="S2593">
        <f>IMAGE("https://mitra.stanford.edu/kundaje/oak/projects/neuro-variants/variant_position/credible/roussos_2024/variant_figures/roussos_2024.childhood.GLU/rs6446206_count_position.png",4,220,900)</f>
        <v/>
      </c>
      <c r="T2593">
        <f>IMAGE("https://mitra.stanford.edu/kundaje/oak/projects/neuro-variants/variant_position/credible/roussos_2024/variant_figures/roussos_2024.childhood.GLU/rs6446206_profile_position.png",4,220,900)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-0.012121322712</v>
      </c>
      <c r="G2594" t="n">
        <v>0.6236492067516759</v>
      </c>
      <c r="H2594" t="n">
        <v>0.0300172418548296</v>
      </c>
      <c r="I2594" t="n">
        <v>0.0210822237753243</v>
      </c>
      <c r="J2594" t="n">
        <v>0.7145301698826583</v>
      </c>
      <c r="K2594" t="n">
        <v>0.0136454466691427</v>
      </c>
      <c r="L2594" t="b">
        <v>0</v>
      </c>
      <c r="M2594" t="b">
        <v>0</v>
      </c>
      <c r="N2594" t="inlineStr">
        <is>
          <t>ref</t>
        </is>
      </c>
      <c r="O2594" t="n">
        <v>-100</v>
      </c>
      <c r="P2594" t="n">
        <v>0.01111</v>
      </c>
      <c r="Q2594" t="n">
        <v>-100</v>
      </c>
      <c r="R2594" t="n">
        <v>0.1036</v>
      </c>
      <c r="S2594">
        <f>IMAGE("https://mitra.stanford.edu/kundaje/oak/projects/neuro-variants/variant_position/credible/roussos_2024/variant_figures/roussos_2024.childhood.GLU/rs2157328_count_position.png",4,220,900)</f>
        <v/>
      </c>
      <c r="T2594">
        <f>IMAGE("https://mitra.stanford.edu/kundaje/oak/projects/neuro-variants/variant_position/credible/roussos_2024/variant_figures/roussos_2024.childhood.GLU/rs2157328_profile_position.png",4,220,900)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-0.0104159303999999</v>
      </c>
      <c r="G2595" t="n">
        <v>0.6586584626295163</v>
      </c>
      <c r="H2595" t="n">
        <v>0.0219086716374382</v>
      </c>
      <c r="I2595" t="n">
        <v>0.0716638458812336</v>
      </c>
      <c r="J2595" t="n">
        <v>0.1608043928420575</v>
      </c>
      <c r="K2595" t="n">
        <v>0.1798057394628959</v>
      </c>
      <c r="L2595" t="b">
        <v>0</v>
      </c>
      <c r="M2595" t="b">
        <v>0</v>
      </c>
      <c r="N2595" t="inlineStr">
        <is>
          <t>ref</t>
        </is>
      </c>
      <c r="O2595" t="n">
        <v>85</v>
      </c>
      <c r="P2595" t="n">
        <v>0.0083</v>
      </c>
      <c r="Q2595" t="n">
        <v>100</v>
      </c>
      <c r="R2595" t="n">
        <v>0.2161</v>
      </c>
      <c r="S2595">
        <f>IMAGE("https://mitra.stanford.edu/kundaje/oak/projects/neuro-variants/variant_position/credible/roussos_2024/variant_figures/roussos_2024.childhood.GLU/rs9311454_count_position.png",4,220,900)</f>
        <v/>
      </c>
      <c r="T2595">
        <f>IMAGE("https://mitra.stanford.edu/kundaje/oak/projects/neuro-variants/variant_position/credible/roussos_2024/variant_figures/roussos_2024.childhood.GLU/rs9311454_profile_position.png",4,220,900)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0.0911545601999999</v>
      </c>
      <c r="G2596" t="n">
        <v>0.0580600346253527</v>
      </c>
      <c r="H2596" t="n">
        <v>0.0341306297474143</v>
      </c>
      <c r="I2596" t="n">
        <v>0.0129334444828831</v>
      </c>
      <c r="J2596" t="n">
        <v>0.2185480132279765</v>
      </c>
      <c r="K2596" t="n">
        <v>0.1363672647502828</v>
      </c>
      <c r="L2596" t="b">
        <v>1</v>
      </c>
      <c r="M2596" t="b">
        <v>0</v>
      </c>
      <c r="N2596" t="inlineStr">
        <is>
          <t>alt</t>
        </is>
      </c>
      <c r="O2596" t="n">
        <v>-50</v>
      </c>
      <c r="P2596" t="n">
        <v>0.00108</v>
      </c>
      <c r="Q2596" t="n">
        <v>-5</v>
      </c>
      <c r="R2596" t="n">
        <v>0.0137</v>
      </c>
      <c r="S2596">
        <f>IMAGE("https://mitra.stanford.edu/kundaje/oak/projects/neuro-variants/variant_position/credible/roussos_2024/variant_figures/roussos_2024.childhood.GLU/rs80049775_count_position.png",4,220,900)</f>
        <v/>
      </c>
      <c r="T2596">
        <f>IMAGE("https://mitra.stanford.edu/kundaje/oak/projects/neuro-variants/variant_position/credible/roussos_2024/variant_figures/roussos_2024.childhood.GLU/rs80049775_profile_position.png",4,220,900)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0.1215105807999999</v>
      </c>
      <c r="G2597" t="n">
        <v>0.029753154703509</v>
      </c>
      <c r="H2597" t="n">
        <v>0.0314286178859056</v>
      </c>
      <c r="I2597" t="n">
        <v>0.0198371283069722</v>
      </c>
      <c r="J2597" t="n">
        <v>0.3811831003327598</v>
      </c>
      <c r="K2597" t="n">
        <v>0.0695065011244009</v>
      </c>
      <c r="L2597" t="b">
        <v>1</v>
      </c>
      <c r="M2597" t="b">
        <v>0</v>
      </c>
      <c r="N2597" t="inlineStr">
        <is>
          <t>alt</t>
        </is>
      </c>
      <c r="O2597" t="n">
        <v>65</v>
      </c>
      <c r="P2597" t="n">
        <v>0.01544</v>
      </c>
      <c r="Q2597" t="n">
        <v>40</v>
      </c>
      <c r="R2597" t="n">
        <v>0.09080000000000001</v>
      </c>
      <c r="S2597">
        <f>IMAGE("https://mitra.stanford.edu/kundaje/oak/projects/neuro-variants/variant_position/credible/roussos_2024/variant_figures/roussos_2024.childhood.GLU/rs17051014_count_position.png",4,220,900)</f>
        <v/>
      </c>
      <c r="T2597">
        <f>IMAGE("https://mitra.stanford.edu/kundaje/oak/projects/neuro-variants/variant_position/credible/roussos_2024/variant_figures/roussos_2024.childhood.GLU/rs17051014_profile_position.png",4,220,900)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0.00054990928</v>
      </c>
      <c r="G2598" t="n">
        <v>0.8698050776122142</v>
      </c>
      <c r="H2598" t="n">
        <v>0.0213571961447491</v>
      </c>
      <c r="I2598" t="n">
        <v>0.0773890718999342</v>
      </c>
      <c r="J2598" t="n">
        <v>0.0019584410767819</v>
      </c>
      <c r="K2598" t="n">
        <v>0.7811508293661867</v>
      </c>
      <c r="L2598" t="b">
        <v>0</v>
      </c>
      <c r="M2598" t="b">
        <v>0</v>
      </c>
      <c r="N2598" t="inlineStr">
        <is>
          <t>alt</t>
        </is>
      </c>
      <c r="O2598" t="n">
        <v>-5</v>
      </c>
      <c r="P2598" t="n">
        <v>0.00108</v>
      </c>
      <c r="Q2598" t="n">
        <v>-50</v>
      </c>
      <c r="R2598" t="n">
        <v>0.01276</v>
      </c>
      <c r="S2598">
        <f>IMAGE("https://mitra.stanford.edu/kundaje/oak/projects/neuro-variants/variant_position/credible/roussos_2024/variant_figures/roussos_2024.childhood.GLU/rs2028216_count_position.png",4,220,900)</f>
        <v/>
      </c>
      <c r="T2598">
        <f>IMAGE("https://mitra.stanford.edu/kundaje/oak/projects/neuro-variants/variant_position/credible/roussos_2024/variant_figures/roussos_2024.childhood.GLU/rs2028216_profile_position.png",4,220,900)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0.044152562</v>
      </c>
      <c r="G2599" t="n">
        <v>0.2129240910177125</v>
      </c>
      <c r="H2599" t="n">
        <v>0.0244355088498816</v>
      </c>
      <c r="I2599" t="n">
        <v>0.0486168452885482</v>
      </c>
      <c r="J2599" t="n">
        <v>0.0405369487055332</v>
      </c>
      <c r="K2599" t="n">
        <v>0.3808855147340954</v>
      </c>
      <c r="L2599" t="b">
        <v>0</v>
      </c>
      <c r="M2599" t="b">
        <v>0</v>
      </c>
      <c r="N2599" t="inlineStr">
        <is>
          <t>alt</t>
        </is>
      </c>
      <c r="O2599" t="n">
        <v>-70</v>
      </c>
      <c r="P2599" t="n">
        <v>0.02496</v>
      </c>
      <c r="Q2599" t="n">
        <v>35</v>
      </c>
      <c r="R2599" t="n">
        <v>0.02686</v>
      </c>
      <c r="S2599">
        <f>IMAGE("https://mitra.stanford.edu/kundaje/oak/projects/neuro-variants/variant_position/credible/roussos_2024/variant_figures/roussos_2024.childhood.GLU/rs12488461_count_position.png",4,220,900)</f>
        <v/>
      </c>
      <c r="T2599">
        <f>IMAGE("https://mitra.stanford.edu/kundaje/oak/projects/neuro-variants/variant_position/credible/roussos_2024/variant_figures/roussos_2024.childhood.GLU/rs12488461_profile_position.png",4,220,900)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-0.0618603994</v>
      </c>
      <c r="G2600" t="n">
        <v>0.1227170608567747</v>
      </c>
      <c r="H2600" t="n">
        <v>0.0098659839685869</v>
      </c>
      <c r="I2600" t="n">
        <v>0.6789265105780398</v>
      </c>
      <c r="J2600" t="n">
        <v>0.3821916820340589</v>
      </c>
      <c r="K2600" t="n">
        <v>0.0695746945013524</v>
      </c>
      <c r="L2600" t="b">
        <v>0</v>
      </c>
      <c r="M2600" t="b">
        <v>0</v>
      </c>
      <c r="N2600" t="inlineStr">
        <is>
          <t>ref</t>
        </is>
      </c>
      <c r="O2600" t="n">
        <v>100</v>
      </c>
      <c r="P2600" t="n">
        <v>0.00567</v>
      </c>
      <c r="Q2600" t="n">
        <v>-100</v>
      </c>
      <c r="R2600" t="n">
        <v>0.05157</v>
      </c>
      <c r="S2600">
        <f>IMAGE("https://mitra.stanford.edu/kundaje/oak/projects/neuro-variants/variant_position/credible/roussos_2024/variant_figures/roussos_2024.childhood.GLU/rs35526119_count_position.png",4,220,900)</f>
        <v/>
      </c>
      <c r="T2600">
        <f>IMAGE("https://mitra.stanford.edu/kundaje/oak/projects/neuro-variants/variant_position/credible/roussos_2024/variant_figures/roussos_2024.childhood.GLU/rs35526119_profile_position.png",4,220,900)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0.01711327758</v>
      </c>
      <c r="G2601" t="n">
        <v>0.5339269660040543</v>
      </c>
      <c r="H2601" t="n">
        <v>0.008776971620437</v>
      </c>
      <c r="I2601" t="n">
        <v>0.7848765676360836</v>
      </c>
      <c r="J2601" t="n">
        <v>0.025028073392605</v>
      </c>
      <c r="K2601" t="n">
        <v>0.4606385885431737</v>
      </c>
      <c r="L2601" t="b">
        <v>0</v>
      </c>
      <c r="M2601" t="b">
        <v>0</v>
      </c>
      <c r="N2601" t="inlineStr">
        <is>
          <t>alt</t>
        </is>
      </c>
      <c r="O2601" t="n">
        <v>-100</v>
      </c>
      <c r="P2601" t="n">
        <v>0.004147</v>
      </c>
      <c r="Q2601" t="n">
        <v>55</v>
      </c>
      <c r="R2601" t="n">
        <v>0.0498</v>
      </c>
      <c r="S2601">
        <f>IMAGE("https://mitra.stanford.edu/kundaje/oak/projects/neuro-variants/variant_position/credible/roussos_2024/variant_figures/roussos_2024.childhood.GLU/rs2710323_count_position.png",4,220,900)</f>
        <v/>
      </c>
      <c r="T2601">
        <f>IMAGE("https://mitra.stanford.edu/kundaje/oak/projects/neuro-variants/variant_position/credible/roussos_2024/variant_figures/roussos_2024.childhood.GLU/rs2710323_profile_position.png",4,220,900)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-0.072428483</v>
      </c>
      <c r="G2602" t="n">
        <v>0.1010907673702767</v>
      </c>
      <c r="H2602" t="n">
        <v>0.0295747434940427</v>
      </c>
      <c r="I2602" t="n">
        <v>0.022334347593999</v>
      </c>
      <c r="J2602" t="n">
        <v>0.5885460558171161</v>
      </c>
      <c r="K2602" t="n">
        <v>0.0277241029880281</v>
      </c>
      <c r="L2602" t="b">
        <v>0</v>
      </c>
      <c r="M2602" t="b">
        <v>0</v>
      </c>
      <c r="N2602" t="inlineStr">
        <is>
          <t>ref</t>
        </is>
      </c>
      <c r="O2602" t="n">
        <v>-30</v>
      </c>
      <c r="P2602" t="n">
        <v>0.004852</v>
      </c>
      <c r="Q2602" t="n">
        <v>-60</v>
      </c>
      <c r="R2602" t="n">
        <v>0.1587</v>
      </c>
      <c r="S2602">
        <f>IMAGE("https://mitra.stanford.edu/kundaje/oak/projects/neuro-variants/variant_position/credible/roussos_2024/variant_figures/roussos_2024.childhood.GLU/rs2535646_count_position.png",4,220,900)</f>
        <v/>
      </c>
      <c r="T2602">
        <f>IMAGE("https://mitra.stanford.edu/kundaje/oak/projects/neuro-variants/variant_position/credible/roussos_2024/variant_figures/roussos_2024.childhood.GLU/rs2535646_profile_position.png",4,220,900)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-0.320324102</v>
      </c>
      <c r="G2603" t="n">
        <v>0.0017723542145117</v>
      </c>
      <c r="H2603" t="n">
        <v>0.0381296672225796</v>
      </c>
      <c r="I2603" t="n">
        <v>0.009148241546878599</v>
      </c>
      <c r="J2603" t="n">
        <v>0.2530952847002585</v>
      </c>
      <c r="K2603" t="n">
        <v>0.1173020065559714</v>
      </c>
      <c r="L2603" t="b">
        <v>1</v>
      </c>
      <c r="M2603" t="b">
        <v>1</v>
      </c>
      <c r="N2603" t="inlineStr">
        <is>
          <t>ref</t>
        </is>
      </c>
      <c r="O2603" t="n">
        <v>-100</v>
      </c>
      <c r="P2603" t="n">
        <v>0.01689</v>
      </c>
      <c r="Q2603" t="n">
        <v>-100</v>
      </c>
      <c r="R2603" t="n">
        <v>0.2524</v>
      </c>
      <c r="S2603">
        <f>IMAGE("https://mitra.stanford.edu/kundaje/oak/projects/neuro-variants/variant_position/credible/roussos_2024/variant_figures/roussos_2024.childhood.GLU/rs62253582_count_position.png",4,220,900)</f>
        <v/>
      </c>
      <c r="T2603">
        <f>IMAGE("https://mitra.stanford.edu/kundaje/oak/projects/neuro-variants/variant_position/credible/roussos_2024/variant_figures/roussos_2024.childhood.GLU/rs62253582_profile_position.png",4,220,900)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-0.3163679699999999</v>
      </c>
      <c r="G2604" t="n">
        <v>0.0019347594305637</v>
      </c>
      <c r="H2604" t="n">
        <v>0.0372074581001443</v>
      </c>
      <c r="I2604" t="n">
        <v>0.0103777167945219</v>
      </c>
      <c r="J2604" t="n">
        <v>0.2527213162042713</v>
      </c>
      <c r="K2604" t="n">
        <v>0.1174781297631712</v>
      </c>
      <c r="L2604" t="b">
        <v>1</v>
      </c>
      <c r="M2604" t="b">
        <v>1</v>
      </c>
      <c r="N2604" t="inlineStr">
        <is>
          <t>ref</t>
        </is>
      </c>
      <c r="O2604" t="n">
        <v>-100</v>
      </c>
      <c r="P2604" t="n">
        <v>0.01659</v>
      </c>
      <c r="Q2604" t="n">
        <v>-100</v>
      </c>
      <c r="R2604" t="n">
        <v>0.2568</v>
      </c>
      <c r="S2604">
        <f>IMAGE("https://mitra.stanford.edu/kundaje/oak/projects/neuro-variants/variant_position/credible/roussos_2024/variant_figures/roussos_2024.childhood.GLU/rs62253583_count_position.png",4,220,900)</f>
        <v/>
      </c>
      <c r="T2604">
        <f>IMAGE("https://mitra.stanford.edu/kundaje/oak/projects/neuro-variants/variant_position/credible/roussos_2024/variant_figures/roussos_2024.childhood.GLU/rs62253583_profile_position.png",4,220,900)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-0.0030289225999999</v>
      </c>
      <c r="G2605" t="n">
        <v>0.769399100809921</v>
      </c>
      <c r="H2605" t="n">
        <v>0.0149712673221388</v>
      </c>
      <c r="I2605" t="n">
        <v>0.2496840231567049</v>
      </c>
      <c r="J2605" t="n">
        <v>0.007698805979375</v>
      </c>
      <c r="K2605" t="n">
        <v>0.6353093383827851</v>
      </c>
      <c r="L2605" t="b">
        <v>0</v>
      </c>
      <c r="M2605" t="b">
        <v>0</v>
      </c>
      <c r="N2605" t="inlineStr">
        <is>
          <t>ref</t>
        </is>
      </c>
      <c r="O2605" t="n">
        <v>85</v>
      </c>
      <c r="P2605" t="n">
        <v>0.01229</v>
      </c>
      <c r="Q2605" t="n">
        <v>-100</v>
      </c>
      <c r="R2605" t="n">
        <v>0.1786</v>
      </c>
      <c r="S2605">
        <f>IMAGE("https://mitra.stanford.edu/kundaje/oak/projects/neuro-variants/variant_position/credible/roussos_2024/variant_figures/roussos_2024.childhood.GLU/rs2465101_count_position.png",4,220,900)</f>
        <v/>
      </c>
      <c r="T2605">
        <f>IMAGE("https://mitra.stanford.edu/kundaje/oak/projects/neuro-variants/variant_position/credible/roussos_2024/variant_figures/roussos_2024.childhood.GLU/rs2465101_profile_position.png",4,220,900)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-0.0394474021999999</v>
      </c>
      <c r="G2606" t="n">
        <v>0.2518203126384004</v>
      </c>
      <c r="H2606" t="n">
        <v>0.0123710576764932</v>
      </c>
      <c r="I2606" t="n">
        <v>0.418459581718036</v>
      </c>
      <c r="J2606" t="n">
        <v>0.0057043073341093</v>
      </c>
      <c r="K2606" t="n">
        <v>0.6557300176934561</v>
      </c>
      <c r="L2606" t="b">
        <v>0</v>
      </c>
      <c r="M2606" t="b">
        <v>0</v>
      </c>
      <c r="N2606" t="inlineStr">
        <is>
          <t>ref</t>
        </is>
      </c>
      <c r="O2606" t="n">
        <v>-90</v>
      </c>
      <c r="P2606" t="n">
        <v>0.004894</v>
      </c>
      <c r="Q2606" t="n">
        <v>75</v>
      </c>
      <c r="R2606" t="n">
        <v>0.00525</v>
      </c>
      <c r="S2606">
        <f>IMAGE("https://mitra.stanford.edu/kundaje/oak/projects/neuro-variants/variant_position/credible/roussos_2024/variant_figures/roussos_2024.childhood.GLU/rs6801235_count_position.png",4,220,900)</f>
        <v/>
      </c>
      <c r="T2606">
        <f>IMAGE("https://mitra.stanford.edu/kundaje/oak/projects/neuro-variants/variant_position/credible/roussos_2024/variant_figures/roussos_2024.childhood.GLU/rs6801235_profile_position.png",4,220,900)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0.00694205444</v>
      </c>
      <c r="G2607" t="n">
        <v>0.6963937091969538</v>
      </c>
      <c r="H2607" t="n">
        <v>0.008680659226423301</v>
      </c>
      <c r="I2607" t="n">
        <v>0.803337898254066</v>
      </c>
      <c r="J2607" t="n">
        <v>0.09429981353086</v>
      </c>
      <c r="K2607" t="n">
        <v>0.2593875209099177</v>
      </c>
      <c r="L2607" t="b">
        <v>0</v>
      </c>
      <c r="M2607" t="b">
        <v>0</v>
      </c>
      <c r="N2607" t="inlineStr">
        <is>
          <t>alt</t>
        </is>
      </c>
      <c r="O2607" t="n">
        <v>30</v>
      </c>
      <c r="P2607" t="n">
        <v>0.01239</v>
      </c>
      <c r="Q2607" t="n">
        <v>25</v>
      </c>
      <c r="R2607" t="n">
        <v>0.1594</v>
      </c>
      <c r="S2607">
        <f>IMAGE("https://mitra.stanford.edu/kundaje/oak/projects/neuro-variants/variant_position/credible/roussos_2024/variant_figures/roussos_2024.childhood.GLU/rs2581816_count_position.png",4,220,900)</f>
        <v/>
      </c>
      <c r="T2607">
        <f>IMAGE("https://mitra.stanford.edu/kundaje/oak/projects/neuro-variants/variant_position/credible/roussos_2024/variant_figures/roussos_2024.childhood.GLU/rs2581816_profile_position.png",4,220,900)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0.0277813036</v>
      </c>
      <c r="G2608" t="n">
        <v>0.3429195781079295</v>
      </c>
      <c r="H2608" t="n">
        <v>0.0075640099248976</v>
      </c>
      <c r="I2608" t="n">
        <v>0.8853288644225663</v>
      </c>
      <c r="J2608" t="n">
        <v>0.0181513799746566</v>
      </c>
      <c r="K2608" t="n">
        <v>0.5165666964398293</v>
      </c>
      <c r="L2608" t="b">
        <v>0</v>
      </c>
      <c r="M2608" t="b">
        <v>0</v>
      </c>
      <c r="N2608" t="inlineStr">
        <is>
          <t>alt</t>
        </is>
      </c>
      <c r="O2608" t="n">
        <v>-95</v>
      </c>
      <c r="P2608" t="n">
        <v>0.005547</v>
      </c>
      <c r="Q2608" t="n">
        <v>-20</v>
      </c>
      <c r="R2608" t="n">
        <v>0.01233</v>
      </c>
      <c r="S2608">
        <f>IMAGE("https://mitra.stanford.edu/kundaje/oak/projects/neuro-variants/variant_position/credible/roussos_2024/variant_figures/roussos_2024.childhood.GLU/rs6771610_count_position.png",4,220,900)</f>
        <v/>
      </c>
      <c r="T2608">
        <f>IMAGE("https://mitra.stanford.edu/kundaje/oak/projects/neuro-variants/variant_position/credible/roussos_2024/variant_figures/roussos_2024.childhood.GLU/rs6771610_profile_position.png",4,220,900)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-0.1163262068</v>
      </c>
      <c r="G2609" t="n">
        <v>0.0448007698971964</v>
      </c>
      <c r="H2609" t="n">
        <v>0.0251850936791985</v>
      </c>
      <c r="I2609" t="n">
        <v>0.0472917096404989</v>
      </c>
      <c r="J2609" t="n">
        <v>0.3962541337426726</v>
      </c>
      <c r="K2609" t="n">
        <v>0.06570556965334701</v>
      </c>
      <c r="L2609" t="b">
        <v>0</v>
      </c>
      <c r="M2609" t="b">
        <v>0</v>
      </c>
      <c r="N2609" t="inlineStr">
        <is>
          <t>ref</t>
        </is>
      </c>
      <c r="O2609" t="n">
        <v>-5</v>
      </c>
      <c r="P2609" t="n">
        <v>0.002031</v>
      </c>
      <c r="Q2609" t="n">
        <v>-40</v>
      </c>
      <c r="R2609" t="n">
        <v>0.02173</v>
      </c>
      <c r="S2609">
        <f>IMAGE("https://mitra.stanford.edu/kundaje/oak/projects/neuro-variants/variant_position/credible/roussos_2024/variant_figures/roussos_2024.childhood.GLU/rs2035450_count_position.png",4,220,900)</f>
        <v/>
      </c>
      <c r="T2609">
        <f>IMAGE("https://mitra.stanford.edu/kundaje/oak/projects/neuro-variants/variant_position/credible/roussos_2024/variant_figures/roussos_2024.childhood.GLU/rs2035450_profile_position.png",4,220,900)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0.0226772731</v>
      </c>
      <c r="G2610" t="n">
        <v>0.4445712123068396</v>
      </c>
      <c r="H2610" t="n">
        <v>0.0113234316570231</v>
      </c>
      <c r="I2610" t="n">
        <v>0.5221289817849968</v>
      </c>
      <c r="J2610" t="n">
        <v>0.4130312052499819</v>
      </c>
      <c r="K2610" t="n">
        <v>0.0612893198173772</v>
      </c>
      <c r="L2610" t="b">
        <v>0</v>
      </c>
      <c r="M2610" t="b">
        <v>0</v>
      </c>
      <c r="N2610" t="inlineStr">
        <is>
          <t>alt</t>
        </is>
      </c>
      <c r="O2610" t="n">
        <v>100</v>
      </c>
      <c r="P2610" t="n">
        <v>0.002024</v>
      </c>
      <c r="Q2610" t="n">
        <v>-90</v>
      </c>
      <c r="R2610" t="n">
        <v>0.04944</v>
      </c>
      <c r="S2610">
        <f>IMAGE("https://mitra.stanford.edu/kundaje/oak/projects/neuro-variants/variant_position/credible/roussos_2024/variant_figures/roussos_2024.childhood.GLU/rs3773744_count_position.png",4,220,900)</f>
        <v/>
      </c>
      <c r="T2610">
        <f>IMAGE("https://mitra.stanford.edu/kundaje/oak/projects/neuro-variants/variant_position/credible/roussos_2024/variant_figures/roussos_2024.childhood.GLU/rs3773744_profile_position.png",4,220,900)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0.00510520252</v>
      </c>
      <c r="G2611" t="n">
        <v>0.7671188634041284</v>
      </c>
      <c r="H2611" t="n">
        <v>0.008726055532883</v>
      </c>
      <c r="I2611" t="n">
        <v>0.8020434037999942</v>
      </c>
      <c r="J2611" t="n">
        <v>0.1470293714650704</v>
      </c>
      <c r="K2611" t="n">
        <v>0.1900175344225197</v>
      </c>
      <c r="L2611" t="b">
        <v>0</v>
      </c>
      <c r="M2611" t="b">
        <v>0</v>
      </c>
      <c r="N2611" t="inlineStr">
        <is>
          <t>alt</t>
        </is>
      </c>
      <c r="O2611" t="n">
        <v>10</v>
      </c>
      <c r="P2611" t="n">
        <v>0.0001714</v>
      </c>
      <c r="Q2611" t="n">
        <v>10</v>
      </c>
      <c r="R2611" t="n">
        <v>0.01391</v>
      </c>
      <c r="S2611">
        <f>IMAGE("https://mitra.stanford.edu/kundaje/oak/projects/neuro-variants/variant_position/credible/roussos_2024/variant_figures/roussos_2024.childhood.GLU/rs12490667_count_position.png",4,220,900)</f>
        <v/>
      </c>
      <c r="T2611">
        <f>IMAGE("https://mitra.stanford.edu/kundaje/oak/projects/neuro-variants/variant_position/credible/roussos_2024/variant_figures/roussos_2024.childhood.GLU/rs12490667_profile_position.png",4,220,900)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-0.00230646974</v>
      </c>
      <c r="G2612" t="n">
        <v>0.6718359309145633</v>
      </c>
      <c r="H2612" t="n">
        <v>0.0131414435180028</v>
      </c>
      <c r="I2612" t="n">
        <v>0.3560242734239034</v>
      </c>
      <c r="J2612" t="n">
        <v>0.1065150875168697</v>
      </c>
      <c r="K2612" t="n">
        <v>0.2366418924668886</v>
      </c>
      <c r="L2612" t="b">
        <v>0</v>
      </c>
      <c r="M2612" t="b">
        <v>0</v>
      </c>
      <c r="N2612" t="inlineStr">
        <is>
          <t>ref</t>
        </is>
      </c>
      <c r="O2612" t="n">
        <v>80</v>
      </c>
      <c r="P2612" t="n">
        <v>0.00718</v>
      </c>
      <c r="Q2612" t="n">
        <v>-5</v>
      </c>
      <c r="R2612" t="n">
        <v>0.0005264</v>
      </c>
      <c r="S2612">
        <f>IMAGE("https://mitra.stanford.edu/kundaje/oak/projects/neuro-variants/variant_position/credible/roussos_2024/variant_figures/roussos_2024.childhood.GLU/rs2358740_count_position.png",4,220,900)</f>
        <v/>
      </c>
      <c r="T2612">
        <f>IMAGE("https://mitra.stanford.edu/kundaje/oak/projects/neuro-variants/variant_position/credible/roussos_2024/variant_figures/roussos_2024.childhood.GLU/rs2358740_profile_position.png",4,220,900)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0.300860244</v>
      </c>
      <c r="G2613" t="n">
        <v>0.0021575210987144</v>
      </c>
      <c r="H2613" t="n">
        <v>0.0372349280900372</v>
      </c>
      <c r="I2613" t="n">
        <v>0.009529217114900901</v>
      </c>
      <c r="J2613" t="n">
        <v>0.0246211379768612</v>
      </c>
      <c r="K2613" t="n">
        <v>0.4674236379625673</v>
      </c>
      <c r="L2613" t="b">
        <v>1</v>
      </c>
      <c r="M2613" t="b">
        <v>1</v>
      </c>
      <c r="N2613" t="inlineStr">
        <is>
          <t>alt</t>
        </is>
      </c>
      <c r="O2613" t="n">
        <v>-15</v>
      </c>
      <c r="P2613" t="n">
        <v>0.001312</v>
      </c>
      <c r="Q2613" t="n">
        <v>-15</v>
      </c>
      <c r="R2613" t="n">
        <v>0.01343</v>
      </c>
      <c r="S2613">
        <f>IMAGE("https://mitra.stanford.edu/kundaje/oak/projects/neuro-variants/variant_position/credible/roussos_2024/variant_figures/roussos_2024.childhood.GLU/rs9799015_count_position.png",4,220,900)</f>
        <v/>
      </c>
      <c r="T2613">
        <f>IMAGE("https://mitra.stanford.edu/kundaje/oak/projects/neuro-variants/variant_position/credible/roussos_2024/variant_figures/roussos_2024.childhood.GLU/rs9799015_profile_position.png",4,220,900)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0.0029061081</v>
      </c>
      <c r="G2614" t="n">
        <v>0.7340648563840445</v>
      </c>
      <c r="H2614" t="n">
        <v>0.0405301506505679</v>
      </c>
      <c r="I2614" t="n">
        <v>0.0062363097067611</v>
      </c>
      <c r="J2614" t="n">
        <v>0.0672638486818382</v>
      </c>
      <c r="K2614" t="n">
        <v>0.3124075671998181</v>
      </c>
      <c r="L2614" t="b">
        <v>1</v>
      </c>
      <c r="M2614" t="b">
        <v>1</v>
      </c>
      <c r="N2614" t="inlineStr">
        <is>
          <t>alt</t>
        </is>
      </c>
      <c r="O2614" t="n">
        <v>-90</v>
      </c>
      <c r="P2614" t="n">
        <v>0.001686</v>
      </c>
      <c r="Q2614" t="n">
        <v>-100</v>
      </c>
      <c r="R2614" t="n">
        <v>0.04132</v>
      </c>
      <c r="S2614">
        <f>IMAGE("https://mitra.stanford.edu/kundaje/oak/projects/neuro-variants/variant_position/credible/roussos_2024/variant_figures/roussos_2024.childhood.GLU/rs11715213_count_position.png",4,220,900)</f>
        <v/>
      </c>
      <c r="T2614">
        <f>IMAGE("https://mitra.stanford.edu/kundaje/oak/projects/neuro-variants/variant_position/credible/roussos_2024/variant_figures/roussos_2024.childhood.GLU/rs11715213_profile_position.png",4,220,900)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-0.00947224874</v>
      </c>
      <c r="G2615" t="n">
        <v>0.6858895433686393</v>
      </c>
      <c r="H2615" t="n">
        <v>0.0133001028227937</v>
      </c>
      <c r="I2615" t="n">
        <v>0.3483183613242069</v>
      </c>
      <c r="J2615" t="n">
        <v>0.0071095222887283</v>
      </c>
      <c r="K2615" t="n">
        <v>0.6454598031506182</v>
      </c>
      <c r="L2615" t="b">
        <v>0</v>
      </c>
      <c r="M2615" t="b">
        <v>0</v>
      </c>
      <c r="N2615" t="inlineStr">
        <is>
          <t>ref</t>
        </is>
      </c>
      <c r="O2615" t="n">
        <v>75</v>
      </c>
      <c r="P2615" t="n">
        <v>0.013275</v>
      </c>
      <c r="Q2615" t="n">
        <v>-70</v>
      </c>
      <c r="R2615" t="n">
        <v>0.06104</v>
      </c>
      <c r="S2615">
        <f>IMAGE("https://mitra.stanford.edu/kundaje/oak/projects/neuro-variants/variant_position/credible/roussos_2024/variant_figures/roussos_2024.childhood.GLU/rs998411_count_position.png",4,220,900)</f>
        <v/>
      </c>
      <c r="T2615">
        <f>IMAGE("https://mitra.stanford.edu/kundaje/oak/projects/neuro-variants/variant_position/credible/roussos_2024/variant_figures/roussos_2024.childhood.GLU/rs998411_profile_position.png",4,220,900)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0.11436924081</v>
      </c>
      <c r="G2616" t="n">
        <v>0.0425612310948945</v>
      </c>
      <c r="H2616" t="n">
        <v>0.0254054574371614</v>
      </c>
      <c r="I2616" t="n">
        <v>0.0474728019207566</v>
      </c>
      <c r="J2616" t="n">
        <v>0.1963283093121245</v>
      </c>
      <c r="K2616" t="n">
        <v>0.1536950371623871</v>
      </c>
      <c r="L2616" t="b">
        <v>0</v>
      </c>
      <c r="M2616" t="b">
        <v>0</v>
      </c>
      <c r="N2616" t="inlineStr">
        <is>
          <t>alt</t>
        </is>
      </c>
      <c r="O2616" t="n">
        <v>90</v>
      </c>
      <c r="P2616" t="n">
        <v>0.11206</v>
      </c>
      <c r="Q2616" t="n">
        <v>80</v>
      </c>
      <c r="R2616" t="n">
        <v>0.1279</v>
      </c>
      <c r="S2616">
        <f>IMAGE("https://mitra.stanford.edu/kundaje/oak/projects/neuro-variants/variant_position/credible/roussos_2024/variant_figures/roussos_2024.childhood.GLU/rs10049216_count_position.png",4,220,900)</f>
        <v/>
      </c>
      <c r="T2616">
        <f>IMAGE("https://mitra.stanford.edu/kundaje/oak/projects/neuro-variants/variant_position/credible/roussos_2024/variant_figures/roussos_2024.childhood.GLU/rs10049216_profile_position.png",4,220,900)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-0.1218988766</v>
      </c>
      <c r="G2617" t="n">
        <v>0.0305866518057383</v>
      </c>
      <c r="H2617" t="n">
        <v>0.0229426437018463</v>
      </c>
      <c r="I2617" t="n">
        <v>0.06476249134347969</v>
      </c>
      <c r="J2617" t="n">
        <v>0.0775330441859745</v>
      </c>
      <c r="K2617" t="n">
        <v>0.2908800894471803</v>
      </c>
      <c r="L2617" t="b">
        <v>0</v>
      </c>
      <c r="M2617" t="b">
        <v>0</v>
      </c>
      <c r="N2617" t="inlineStr">
        <is>
          <t>ref</t>
        </is>
      </c>
      <c r="O2617" t="n">
        <v>-95</v>
      </c>
      <c r="P2617" t="n">
        <v>0.001991</v>
      </c>
      <c r="Q2617" t="n">
        <v>-100</v>
      </c>
      <c r="R2617" t="n">
        <v>0.10425</v>
      </c>
      <c r="S2617">
        <f>IMAGE("https://mitra.stanford.edu/kundaje/oak/projects/neuro-variants/variant_position/credible/roussos_2024/variant_figures/roussos_2024.childhood.GLU/rs4679526_count_position.png",4,220,900)</f>
        <v/>
      </c>
      <c r="T2617">
        <f>IMAGE("https://mitra.stanford.edu/kundaje/oak/projects/neuro-variants/variant_position/credible/roussos_2024/variant_figures/roussos_2024.childhood.GLU/rs4679526_profile_position.png",4,220,900)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0.0163146414</v>
      </c>
      <c r="G2618" t="n">
        <v>0.5040520969405748</v>
      </c>
      <c r="H2618" t="n">
        <v>0.0215102537632159</v>
      </c>
      <c r="I2618" t="n">
        <v>0.07643104533361091</v>
      </c>
      <c r="J2618" t="n">
        <v>0.0050748452100095</v>
      </c>
      <c r="K2618" t="n">
        <v>0.6677853538743383</v>
      </c>
      <c r="L2618" t="b">
        <v>0</v>
      </c>
      <c r="M2618" t="b">
        <v>0</v>
      </c>
      <c r="N2618" t="inlineStr">
        <is>
          <t>alt</t>
        </is>
      </c>
      <c r="O2618" t="n">
        <v>-100</v>
      </c>
      <c r="P2618" t="n">
        <v>0.04483</v>
      </c>
      <c r="Q2618" t="n">
        <v>-100</v>
      </c>
      <c r="R2618" t="n">
        <v>0.2273</v>
      </c>
      <c r="S2618">
        <f>IMAGE("https://mitra.stanford.edu/kundaje/oak/projects/neuro-variants/variant_position/credible/roussos_2024/variant_figures/roussos_2024.childhood.GLU/rs1882900_count_position.png",4,220,900)</f>
        <v/>
      </c>
      <c r="T2618">
        <f>IMAGE("https://mitra.stanford.edu/kundaje/oak/projects/neuro-variants/variant_position/credible/roussos_2024/variant_figures/roussos_2024.childhood.GLU/rs1882900_profile_position.png",4,220,900)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0.162500762</v>
      </c>
      <c r="G2619" t="n">
        <v>0.0142057812774941</v>
      </c>
      <c r="H2619" t="n">
        <v>0.0180212838758558</v>
      </c>
      <c r="I2619" t="n">
        <v>0.1461002138242404</v>
      </c>
      <c r="J2619" t="n">
        <v>0.06288645986792619</v>
      </c>
      <c r="K2619" t="n">
        <v>0.3114487184828731</v>
      </c>
      <c r="L2619" t="b">
        <v>1</v>
      </c>
      <c r="M2619" t="b">
        <v>0</v>
      </c>
      <c r="N2619" t="inlineStr">
        <is>
          <t>alt</t>
        </is>
      </c>
      <c r="O2619" t="n">
        <v>100</v>
      </c>
      <c r="P2619" t="n">
        <v>0.02255</v>
      </c>
      <c r="Q2619" t="n">
        <v>80</v>
      </c>
      <c r="R2619" t="n">
        <v>0.1306</v>
      </c>
      <c r="S2619">
        <f>IMAGE("https://mitra.stanford.edu/kundaje/oak/projects/neuro-variants/variant_position/credible/roussos_2024/variant_figures/roussos_2024.childhood.GLU/rs6787076_count_position.png",4,220,900)</f>
        <v/>
      </c>
      <c r="T2619">
        <f>IMAGE("https://mitra.stanford.edu/kundaje/oak/projects/neuro-variants/variant_position/credible/roussos_2024/variant_figures/roussos_2024.childhood.GLU/rs6787076_profile_position.png",4,220,900)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-0.00319167418</v>
      </c>
      <c r="G2620" t="n">
        <v>0.8227310893807877</v>
      </c>
      <c r="H2620" t="n">
        <v>0.0084256001703867</v>
      </c>
      <c r="I2620" t="n">
        <v>0.8362340573577637</v>
      </c>
      <c r="J2620" t="n">
        <v>0.0334727559314699</v>
      </c>
      <c r="K2620" t="n">
        <v>0.4127800719980954</v>
      </c>
      <c r="L2620" t="b">
        <v>0</v>
      </c>
      <c r="M2620" t="b">
        <v>0</v>
      </c>
      <c r="N2620" t="inlineStr">
        <is>
          <t>ref</t>
        </is>
      </c>
      <c r="O2620" t="n">
        <v>100</v>
      </c>
      <c r="P2620" t="n">
        <v>0.10455</v>
      </c>
      <c r="Q2620" t="n">
        <v>65</v>
      </c>
      <c r="R2620" t="n">
        <v>0.0643</v>
      </c>
      <c r="S2620">
        <f>IMAGE("https://mitra.stanford.edu/kundaje/oak/projects/neuro-variants/variant_position/credible/roussos_2024/variant_figures/roussos_2024.childhood.GLU/rs9847855_count_position.png",4,220,900)</f>
        <v/>
      </c>
      <c r="T2620">
        <f>IMAGE("https://mitra.stanford.edu/kundaje/oak/projects/neuro-variants/variant_position/credible/roussos_2024/variant_figures/roussos_2024.childhood.GLU/rs9847855_profile_position.png",4,220,900)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0.07548293294</v>
      </c>
      <c r="G2621" t="n">
        <v>0.1284799379943423</v>
      </c>
      <c r="H2621" t="n">
        <v>0.0254539281744326</v>
      </c>
      <c r="I2621" t="n">
        <v>0.044523558150608</v>
      </c>
      <c r="J2621" t="n">
        <v>0.0454016298020954</v>
      </c>
      <c r="K2621" t="n">
        <v>0.3728898953208568</v>
      </c>
      <c r="L2621" t="b">
        <v>0</v>
      </c>
      <c r="M2621" t="b">
        <v>0</v>
      </c>
      <c r="N2621" t="inlineStr">
        <is>
          <t>alt</t>
        </is>
      </c>
      <c r="O2621" t="n">
        <v>55</v>
      </c>
      <c r="P2621" t="n">
        <v>0.00818</v>
      </c>
      <c r="Q2621" t="n">
        <v>20</v>
      </c>
      <c r="R2621" t="n">
        <v>0.03125</v>
      </c>
      <c r="S2621">
        <f>IMAGE("https://mitra.stanford.edu/kundaje/oak/projects/neuro-variants/variant_position/credible/roussos_2024/variant_figures/roussos_2024.childhood.GLU/rs9848065_count_position.png",4,220,900)</f>
        <v/>
      </c>
      <c r="T2621">
        <f>IMAGE("https://mitra.stanford.edu/kundaje/oak/projects/neuro-variants/variant_position/credible/roussos_2024/variant_figures/roussos_2024.childhood.GLU/rs9848065_profile_position.png",4,220,900)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-0.00717074536</v>
      </c>
      <c r="G2622" t="n">
        <v>0.7172558352091024</v>
      </c>
      <c r="H2622" t="n">
        <v>0.0195223836846263</v>
      </c>
      <c r="I2622" t="n">
        <v>0.1074907927725836</v>
      </c>
      <c r="J2622" t="n">
        <v>0.0053323992706068</v>
      </c>
      <c r="K2622" t="n">
        <v>0.6687265029535299</v>
      </c>
      <c r="L2622" t="b">
        <v>0</v>
      </c>
      <c r="M2622" t="b">
        <v>0</v>
      </c>
      <c r="N2622" t="inlineStr">
        <is>
          <t>ref</t>
        </is>
      </c>
      <c r="O2622" t="n">
        <v>-100</v>
      </c>
      <c r="P2622" t="n">
        <v>0.0017395</v>
      </c>
      <c r="Q2622" t="n">
        <v>65</v>
      </c>
      <c r="R2622" t="n">
        <v>0.098</v>
      </c>
      <c r="S2622">
        <f>IMAGE("https://mitra.stanford.edu/kundaje/oak/projects/neuro-variants/variant_position/credible/roussos_2024/variant_figures/roussos_2024.childhood.GLU/rs2687176_count_position.png",4,220,900)</f>
        <v/>
      </c>
      <c r="T2622">
        <f>IMAGE("https://mitra.stanford.edu/kundaje/oak/projects/neuro-variants/variant_position/credible/roussos_2024/variant_figures/roussos_2024.childhood.GLU/rs2687176_profile_position.png",4,220,900)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0.0360688082</v>
      </c>
      <c r="G2623" t="n">
        <v>0.2658058699639107</v>
      </c>
      <c r="H2623" t="n">
        <v>0.0111105242070401</v>
      </c>
      <c r="I2623" t="n">
        <v>0.5421844857176187</v>
      </c>
      <c r="J2623" t="n">
        <v>0.0934540059958584</v>
      </c>
      <c r="K2623" t="n">
        <v>0.2648751123875084</v>
      </c>
      <c r="L2623" t="b">
        <v>0</v>
      </c>
      <c r="M2623" t="b">
        <v>0</v>
      </c>
      <c r="N2623" t="inlineStr">
        <is>
          <t>alt</t>
        </is>
      </c>
      <c r="O2623" t="n">
        <v>35</v>
      </c>
      <c r="P2623" t="n">
        <v>0.0002537</v>
      </c>
      <c r="Q2623" t="n">
        <v>-65</v>
      </c>
      <c r="R2623" t="n">
        <v>0.1033</v>
      </c>
      <c r="S2623">
        <f>IMAGE("https://mitra.stanford.edu/kundaje/oak/projects/neuro-variants/variant_position/credible/roussos_2024/variant_figures/roussos_2024.childhood.GLU/rs68056303_count_position.png",4,220,900)</f>
        <v/>
      </c>
      <c r="T2623">
        <f>IMAGE("https://mitra.stanford.edu/kundaje/oak/projects/neuro-variants/variant_position/credible/roussos_2024/variant_figures/roussos_2024.childhood.GLU/rs68056303_profile_position.png",4,220,900)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-0.0281693513999999</v>
      </c>
      <c r="G2624" t="n">
        <v>0.3139921695567519</v>
      </c>
      <c r="H2624" t="n">
        <v>0.0119381777309887</v>
      </c>
      <c r="I2624" t="n">
        <v>0.4447351950231566</v>
      </c>
      <c r="J2624" t="n">
        <v>0.0581701299102681</v>
      </c>
      <c r="K2624" t="n">
        <v>0.3367680334632297</v>
      </c>
      <c r="L2624" t="b">
        <v>0</v>
      </c>
      <c r="M2624" t="b">
        <v>0</v>
      </c>
      <c r="N2624" t="inlineStr">
        <is>
          <t>ref</t>
        </is>
      </c>
      <c r="O2624" t="n">
        <v>90</v>
      </c>
      <c r="P2624" t="n">
        <v>0.003424</v>
      </c>
      <c r="Q2624" t="n">
        <v>100</v>
      </c>
      <c r="R2624" t="n">
        <v>0.12415</v>
      </c>
      <c r="S2624">
        <f>IMAGE("https://mitra.stanford.edu/kundaje/oak/projects/neuro-variants/variant_position/credible/roussos_2024/variant_figures/roussos_2024.childhood.GLU/rs9862806_count_position.png",4,220,900)</f>
        <v/>
      </c>
      <c r="T2624">
        <f>IMAGE("https://mitra.stanford.edu/kundaje/oak/projects/neuro-variants/variant_position/credible/roussos_2024/variant_figures/roussos_2024.childhood.GLU/rs9862806_profile_position.png",4,220,900)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-0.13092468</v>
      </c>
      <c r="G2625" t="n">
        <v>0.023281159414678</v>
      </c>
      <c r="H2625" t="n">
        <v>0.0193540453672982</v>
      </c>
      <c r="I2625" t="n">
        <v>0.1092695751591875</v>
      </c>
      <c r="J2625" t="n">
        <v>0.0583926566186242</v>
      </c>
      <c r="K2625" t="n">
        <v>0.3362478297988249</v>
      </c>
      <c r="L2625" t="b">
        <v>0</v>
      </c>
      <c r="M2625" t="b">
        <v>0</v>
      </c>
      <c r="N2625" t="inlineStr">
        <is>
          <t>ref</t>
        </is>
      </c>
      <c r="O2625" t="n">
        <v>100</v>
      </c>
      <c r="P2625" t="n">
        <v>0.002846</v>
      </c>
      <c r="Q2625" t="n">
        <v>100</v>
      </c>
      <c r="R2625" t="n">
        <v>0.1039</v>
      </c>
      <c r="S2625">
        <f>IMAGE("https://mitra.stanford.edu/kundaje/oak/projects/neuro-variants/variant_position/credible/roussos_2024/variant_figures/roussos_2024.childhood.GLU/rs9862809_count_position.png",4,220,900)</f>
        <v/>
      </c>
      <c r="T2625">
        <f>IMAGE("https://mitra.stanford.edu/kundaje/oak/projects/neuro-variants/variant_position/credible/roussos_2024/variant_figures/roussos_2024.childhood.GLU/rs9862809_profile_position.png",4,220,900)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0.0492897469</v>
      </c>
      <c r="G2626" t="n">
        <v>0.1956790491180631</v>
      </c>
      <c r="H2626" t="n">
        <v>0.0143609075667678</v>
      </c>
      <c r="I2626" t="n">
        <v>0.2784306993505677</v>
      </c>
      <c r="J2626" t="n">
        <v>0.0154831199068683</v>
      </c>
      <c r="K2626" t="n">
        <v>0.5398051876999234</v>
      </c>
      <c r="L2626" t="b">
        <v>0</v>
      </c>
      <c r="M2626" t="b">
        <v>0</v>
      </c>
      <c r="N2626" t="inlineStr">
        <is>
          <t>alt</t>
        </is>
      </c>
      <c r="O2626" t="n">
        <v>-30</v>
      </c>
      <c r="P2626" t="n">
        <v>0.00338</v>
      </c>
      <c r="Q2626" t="n">
        <v>55</v>
      </c>
      <c r="R2626" t="n">
        <v>0.04248</v>
      </c>
      <c r="S2626">
        <f>IMAGE("https://mitra.stanford.edu/kundaje/oak/projects/neuro-variants/variant_position/credible/roussos_2024/variant_figures/roussos_2024.childhood.GLU/rs2687189_count_position.png",4,220,900)</f>
        <v/>
      </c>
      <c r="T2626">
        <f>IMAGE("https://mitra.stanford.edu/kundaje/oak/projects/neuro-variants/variant_position/credible/roussos_2024/variant_figures/roussos_2024.childhood.GLU/rs2687189_profile_position.png",4,220,900)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0.024316222</v>
      </c>
      <c r="G2627" t="n">
        <v>0.290341709629993</v>
      </c>
      <c r="H2627" t="n">
        <v>0.0277238447295306</v>
      </c>
      <c r="I2627" t="n">
        <v>0.0293400186069979</v>
      </c>
      <c r="J2627" t="n">
        <v>0.0014917531189796</v>
      </c>
      <c r="K2627" t="n">
        <v>0.7904646244347764</v>
      </c>
      <c r="L2627" t="b">
        <v>0</v>
      </c>
      <c r="M2627" t="b">
        <v>0</v>
      </c>
      <c r="N2627" t="inlineStr">
        <is>
          <t>alt</t>
        </is>
      </c>
      <c r="O2627" t="n">
        <v>75</v>
      </c>
      <c r="P2627" t="n">
        <v>0.005875</v>
      </c>
      <c r="Q2627" t="n">
        <v>-20</v>
      </c>
      <c r="R2627" t="n">
        <v>0.04468</v>
      </c>
      <c r="S2627">
        <f>IMAGE("https://mitra.stanford.edu/kundaje/oak/projects/neuro-variants/variant_position/credible/roussos_2024/variant_figures/roussos_2024.childhood.GLU/rs77635360_count_position.png",4,220,900)</f>
        <v/>
      </c>
      <c r="T2627">
        <f>IMAGE("https://mitra.stanford.edu/kundaje/oak/projects/neuro-variants/variant_position/credible/roussos_2024/variant_figures/roussos_2024.childhood.GLU/rs77635360_profile_position.png",4,220,900)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-0.0477728096</v>
      </c>
      <c r="G2628" t="n">
        <v>0.2028400035661237</v>
      </c>
      <c r="H2628" t="n">
        <v>0.0276753475582546</v>
      </c>
      <c r="I2628" t="n">
        <v>0.0294924190924012</v>
      </c>
      <c r="J2628" t="n">
        <v>0.0561838729949416</v>
      </c>
      <c r="K2628" t="n">
        <v>0.332561606038722</v>
      </c>
      <c r="L2628" t="b">
        <v>0</v>
      </c>
      <c r="M2628" t="b">
        <v>0</v>
      </c>
      <c r="N2628" t="inlineStr">
        <is>
          <t>ref</t>
        </is>
      </c>
      <c r="O2628" t="n">
        <v>85</v>
      </c>
      <c r="P2628" t="n">
        <v>0.004868</v>
      </c>
      <c r="Q2628" t="n">
        <v>20</v>
      </c>
      <c r="R2628" t="n">
        <v>0.01965</v>
      </c>
      <c r="S2628">
        <f>IMAGE("https://mitra.stanford.edu/kundaje/oak/projects/neuro-variants/variant_position/credible/roussos_2024/variant_figures/roussos_2024.childhood.GLU/rs12629110_count_position.png",4,220,900)</f>
        <v/>
      </c>
      <c r="T2628">
        <f>IMAGE("https://mitra.stanford.edu/kundaje/oak/projects/neuro-variants/variant_position/credible/roussos_2024/variant_figures/roussos_2024.childhood.GLU/rs12629110_profile_position.png",4,220,900)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-0.0027718440399999</v>
      </c>
      <c r="G2629" t="n">
        <v>0.6987355835420384</v>
      </c>
      <c r="H2629" t="n">
        <v>0.0380072605678608</v>
      </c>
      <c r="I2629" t="n">
        <v>0.0084477808940581</v>
      </c>
      <c r="J2629" t="n">
        <v>0.0010219745124501</v>
      </c>
      <c r="K2629" t="n">
        <v>0.8431764678048027</v>
      </c>
      <c r="L2629" t="b">
        <v>0</v>
      </c>
      <c r="M2629" t="b">
        <v>0</v>
      </c>
      <c r="N2629" t="inlineStr">
        <is>
          <t>ref</t>
        </is>
      </c>
      <c r="O2629" t="n">
        <v>-25</v>
      </c>
      <c r="P2629" t="n">
        <v>0.002441</v>
      </c>
      <c r="Q2629" t="n">
        <v>60</v>
      </c>
      <c r="R2629" t="n">
        <v>0.0526</v>
      </c>
      <c r="S2629">
        <f>IMAGE("https://mitra.stanford.edu/kundaje/oak/projects/neuro-variants/variant_position/credible/roussos_2024/variant_figures/roussos_2024.childhood.GLU/rs9818182_count_position.png",4,220,900)</f>
        <v/>
      </c>
      <c r="T2629">
        <f>IMAGE("https://mitra.stanford.edu/kundaje/oak/projects/neuro-variants/variant_position/credible/roussos_2024/variant_figures/roussos_2024.childhood.GLU/rs9818182_profile_position.png",4,220,900)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0.0494916912</v>
      </c>
      <c r="G2630" t="n">
        <v>0.1708700867126637</v>
      </c>
      <c r="H2630" t="n">
        <v>0.0151149216966318</v>
      </c>
      <c r="I2630" t="n">
        <v>0.2432798120200926</v>
      </c>
      <c r="J2630" t="n">
        <v>0.09230325445310961</v>
      </c>
      <c r="K2630" t="n">
        <v>0.2557640572098368</v>
      </c>
      <c r="L2630" t="b">
        <v>0</v>
      </c>
      <c r="M2630" t="b">
        <v>0</v>
      </c>
      <c r="N2630" t="inlineStr">
        <is>
          <t>alt</t>
        </is>
      </c>
      <c r="O2630" t="n">
        <v>55</v>
      </c>
      <c r="P2630" t="n">
        <v>0.007324</v>
      </c>
      <c r="Q2630" t="n">
        <v>100</v>
      </c>
      <c r="R2630" t="n">
        <v>0.1382</v>
      </c>
      <c r="S2630">
        <f>IMAGE("https://mitra.stanford.edu/kundaje/oak/projects/neuro-variants/variant_position/credible/roussos_2024/variant_figures/roussos_2024.childhood.GLU/rs9828307_count_position.png",4,220,900)</f>
        <v/>
      </c>
      <c r="T2630">
        <f>IMAGE("https://mitra.stanford.edu/kundaje/oak/projects/neuro-variants/variant_position/credible/roussos_2024/variant_figures/roussos_2024.childhood.GLU/rs9828307_profile_position.png",4,220,900)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-0.0437029933999999</v>
      </c>
      <c r="G2631" t="n">
        <v>0.2224513342041373</v>
      </c>
      <c r="H2631" t="n">
        <v>0.0102878766601753</v>
      </c>
      <c r="I2631" t="n">
        <v>0.6317715925698675</v>
      </c>
      <c r="J2631" t="n">
        <v>0.2809070023797995</v>
      </c>
      <c r="K2631" t="n">
        <v>0.1060123264258191</v>
      </c>
      <c r="L2631" t="b">
        <v>0</v>
      </c>
      <c r="M2631" t="b">
        <v>0</v>
      </c>
      <c r="N2631" t="inlineStr">
        <is>
          <t>ref</t>
        </is>
      </c>
      <c r="O2631" t="n">
        <v>100</v>
      </c>
      <c r="P2631" t="n">
        <v>0.0339</v>
      </c>
      <c r="Q2631" t="n">
        <v>100</v>
      </c>
      <c r="R2631" t="n">
        <v>0.1729</v>
      </c>
      <c r="S2631">
        <f>IMAGE("https://mitra.stanford.edu/kundaje/oak/projects/neuro-variants/variant_position/credible/roussos_2024/variant_figures/roussos_2024.childhood.GLU/rs606506_count_position.png",4,220,900)</f>
        <v/>
      </c>
      <c r="T2631">
        <f>IMAGE("https://mitra.stanford.edu/kundaje/oak/projects/neuro-variants/variant_position/credible/roussos_2024/variant_figures/roussos_2024.childhood.GLU/rs606506_profile_position.png",4,220,900)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0.0098269857999999</v>
      </c>
      <c r="G2632" t="n">
        <v>0.5500641154543434</v>
      </c>
      <c r="H2632" t="n">
        <v>0.0217138881172703</v>
      </c>
      <c r="I2632" t="n">
        <v>0.07773751515755239</v>
      </c>
      <c r="J2632" t="n">
        <v>0.0062080830766377</v>
      </c>
      <c r="K2632" t="n">
        <v>0.6572911692691217</v>
      </c>
      <c r="L2632" t="b">
        <v>0</v>
      </c>
      <c r="M2632" t="b">
        <v>0</v>
      </c>
      <c r="N2632" t="inlineStr">
        <is>
          <t>alt</t>
        </is>
      </c>
      <c r="O2632" t="n">
        <v>-55</v>
      </c>
      <c r="P2632" t="n">
        <v>0.00552</v>
      </c>
      <c r="Q2632" t="n">
        <v>-45</v>
      </c>
      <c r="R2632" t="n">
        <v>0.12024</v>
      </c>
      <c r="S2632">
        <f>IMAGE("https://mitra.stanford.edu/kundaje/oak/projects/neuro-variants/variant_position/credible/roussos_2024/variant_figures/roussos_2024.childhood.GLU/rs640732_count_position.png",4,220,900)</f>
        <v/>
      </c>
      <c r="T2632">
        <f>IMAGE("https://mitra.stanford.edu/kundaje/oak/projects/neuro-variants/variant_position/credible/roussos_2024/variant_figures/roussos_2024.childhood.GLU/rs640732_profile_position.png",4,220,900)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-0.060849124</v>
      </c>
      <c r="G2633" t="n">
        <v>0.1313100946007241</v>
      </c>
      <c r="H2633" t="n">
        <v>0.0176401816142357</v>
      </c>
      <c r="I2633" t="n">
        <v>0.1592074759868568</v>
      </c>
      <c r="J2633" t="n">
        <v>0.016109491382241</v>
      </c>
      <c r="K2633" t="n">
        <v>0.5181908646277356</v>
      </c>
      <c r="L2633" t="b">
        <v>0</v>
      </c>
      <c r="M2633" t="b">
        <v>0</v>
      </c>
      <c r="N2633" t="inlineStr">
        <is>
          <t>ref</t>
        </is>
      </c>
      <c r="O2633" t="n">
        <v>-5</v>
      </c>
      <c r="P2633" t="n">
        <v>0.0003018</v>
      </c>
      <c r="Q2633" t="n">
        <v>0</v>
      </c>
      <c r="R2633" t="n">
        <v>0</v>
      </c>
      <c r="S2633">
        <f>IMAGE("https://mitra.stanford.edu/kundaje/oak/projects/neuro-variants/variant_position/credible/roussos_2024/variant_figures/roussos_2024.childhood.GLU/rs626136_count_position.png",4,220,900)</f>
        <v/>
      </c>
      <c r="T2633">
        <f>IMAGE("https://mitra.stanford.edu/kundaje/oak/projects/neuro-variants/variant_position/credible/roussos_2024/variant_figures/roussos_2024.childhood.GLU/rs626136_profile_position.png",4,220,900)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-0.0654979624</v>
      </c>
      <c r="G2634" t="n">
        <v>0.108830097851174</v>
      </c>
      <c r="H2634" t="n">
        <v>0.0117514703321677</v>
      </c>
      <c r="I2634" t="n">
        <v>0.4778705794188334</v>
      </c>
      <c r="J2634" t="n">
        <v>0.0248848733349129</v>
      </c>
      <c r="K2634" t="n">
        <v>0.4560560889097675</v>
      </c>
      <c r="L2634" t="b">
        <v>0</v>
      </c>
      <c r="M2634" t="b">
        <v>0</v>
      </c>
      <c r="N2634" t="inlineStr">
        <is>
          <t>ref</t>
        </is>
      </c>
      <c r="O2634" t="n">
        <v>-10</v>
      </c>
      <c r="P2634" t="n">
        <v>0.001055</v>
      </c>
      <c r="Q2634" t="n">
        <v>15</v>
      </c>
      <c r="R2634" t="n">
        <v>0.01538</v>
      </c>
      <c r="S2634">
        <f>IMAGE("https://mitra.stanford.edu/kundaje/oak/projects/neuro-variants/variant_position/credible/roussos_2024/variant_figures/roussos_2024.childhood.GLU/rs623843_count_position.png",4,220,900)</f>
        <v/>
      </c>
      <c r="T2634">
        <f>IMAGE("https://mitra.stanford.edu/kundaje/oak/projects/neuro-variants/variant_position/credible/roussos_2024/variant_figures/roussos_2024.childhood.GLU/rs623843_profile_position.png",4,220,900)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0.0590746188</v>
      </c>
      <c r="G2635" t="n">
        <v>0.1390581352147972</v>
      </c>
      <c r="H2635" t="n">
        <v>0.0103684066720842</v>
      </c>
      <c r="I2635" t="n">
        <v>0.6046396503675557</v>
      </c>
      <c r="J2635" t="n">
        <v>0.0110707037407151</v>
      </c>
      <c r="K2635" t="n">
        <v>0.5791235392014586</v>
      </c>
      <c r="L2635" t="b">
        <v>0</v>
      </c>
      <c r="M2635" t="b">
        <v>0</v>
      </c>
      <c r="N2635" t="inlineStr">
        <is>
          <t>alt</t>
        </is>
      </c>
      <c r="O2635" t="n">
        <v>90</v>
      </c>
      <c r="P2635" t="n">
        <v>0.00954</v>
      </c>
      <c r="Q2635" t="n">
        <v>85</v>
      </c>
      <c r="R2635" t="n">
        <v>0.067</v>
      </c>
      <c r="S2635">
        <f>IMAGE("https://mitra.stanford.edu/kundaje/oak/projects/neuro-variants/variant_position/credible/roussos_2024/variant_figures/roussos_2024.childhood.GLU/rs623808_count_position.png",4,220,900)</f>
        <v/>
      </c>
      <c r="T2635">
        <f>IMAGE("https://mitra.stanford.edu/kundaje/oak/projects/neuro-variants/variant_position/credible/roussos_2024/variant_figures/roussos_2024.childhood.GLU/rs623808_profile_position.png",4,220,900)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0.0679252068</v>
      </c>
      <c r="G2636" t="n">
        <v>0.102258215648167</v>
      </c>
      <c r="H2636" t="n">
        <v>0.0134255846169249</v>
      </c>
      <c r="I2636" t="n">
        <v>0.3387596072995874</v>
      </c>
      <c r="J2636" t="n">
        <v>0.0120257141974099</v>
      </c>
      <c r="K2636" t="n">
        <v>0.5600267277474216</v>
      </c>
      <c r="L2636" t="b">
        <v>0</v>
      </c>
      <c r="M2636" t="b">
        <v>0</v>
      </c>
      <c r="N2636" t="inlineStr">
        <is>
          <t>alt</t>
        </is>
      </c>
      <c r="O2636" t="n">
        <v>-100</v>
      </c>
      <c r="P2636" t="n">
        <v>0.00477</v>
      </c>
      <c r="Q2636" t="n">
        <v>-35</v>
      </c>
      <c r="R2636" t="n">
        <v>0.06555</v>
      </c>
      <c r="S2636">
        <f>IMAGE("https://mitra.stanford.edu/kundaje/oak/projects/neuro-variants/variant_position/credible/roussos_2024/variant_figures/roussos_2024.childhood.GLU/rs9863323_count_position.png",4,220,900)</f>
        <v/>
      </c>
      <c r="T2636">
        <f>IMAGE("https://mitra.stanford.edu/kundaje/oak/projects/neuro-variants/variant_position/credible/roussos_2024/variant_figures/roussos_2024.childhood.GLU/rs9863323_profile_position.png",4,220,900)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0.0495989366</v>
      </c>
      <c r="G2637" t="n">
        <v>0.1784227692719937</v>
      </c>
      <c r="H2637" t="n">
        <v>0.0158546820205813</v>
      </c>
      <c r="I2637" t="n">
        <v>0.2156658034326678</v>
      </c>
      <c r="J2637" t="n">
        <v>0.0352086702998959</v>
      </c>
      <c r="K2637" t="n">
        <v>0.4034967462386025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0.01605</v>
      </c>
      <c r="Q2637" t="n">
        <v>-75</v>
      </c>
      <c r="R2637" t="n">
        <v>0.02222</v>
      </c>
      <c r="S2637">
        <f>IMAGE("https://mitra.stanford.edu/kundaje/oak/projects/neuro-variants/variant_position/credible/roussos_2024/variant_figures/roussos_2024.childhood.GLU/rs6787306_count_position.png",4,220,900)</f>
        <v/>
      </c>
      <c r="T2637">
        <f>IMAGE("https://mitra.stanford.edu/kundaje/oak/projects/neuro-variants/variant_position/credible/roussos_2024/variant_figures/roussos_2024.childhood.GLU/rs6787306_profile_position.png",4,220,900)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0.00146877908</v>
      </c>
      <c r="G2638" t="n">
        <v>0.7903467053415082</v>
      </c>
      <c r="H2638" t="n">
        <v>0.0371808787675676</v>
      </c>
      <c r="I2638" t="n">
        <v>0.0087982292894257</v>
      </c>
      <c r="J2638" t="n">
        <v>0.5610372217128374</v>
      </c>
      <c r="K2638" t="n">
        <v>0.0324270861366059</v>
      </c>
      <c r="L2638" t="b">
        <v>1</v>
      </c>
      <c r="M2638" t="b">
        <v>1</v>
      </c>
      <c r="N2638" t="inlineStr">
        <is>
          <t>alt</t>
        </is>
      </c>
      <c r="O2638" t="n">
        <v>100</v>
      </c>
      <c r="P2638" t="n">
        <v>0.009705</v>
      </c>
      <c r="Q2638" t="n">
        <v>100</v>
      </c>
      <c r="R2638" t="n">
        <v>0.0708</v>
      </c>
      <c r="S2638">
        <f>IMAGE("https://mitra.stanford.edu/kundaje/oak/projects/neuro-variants/variant_position/credible/roussos_2024/variant_figures/roussos_2024.childhood.GLU/rs6766287_count_position.png",4,220,900)</f>
        <v/>
      </c>
      <c r="T2638">
        <f>IMAGE("https://mitra.stanford.edu/kundaje/oak/projects/neuro-variants/variant_position/credible/roussos_2024/variant_figures/roussos_2024.childhood.GLU/rs6766287_profile_position.png",4,220,900)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0.08383957</v>
      </c>
      <c r="G2639" t="n">
        <v>0.0645728387919145</v>
      </c>
      <c r="H2639" t="n">
        <v>0.0133199865024147</v>
      </c>
      <c r="I2639" t="n">
        <v>0.3430358585069171</v>
      </c>
      <c r="J2639" t="n">
        <v>0.0082458508040837</v>
      </c>
      <c r="K2639" t="n">
        <v>0.6158146187045587</v>
      </c>
      <c r="L2639" t="b">
        <v>0</v>
      </c>
      <c r="M2639" t="b">
        <v>0</v>
      </c>
      <c r="N2639" t="inlineStr">
        <is>
          <t>alt</t>
        </is>
      </c>
      <c r="O2639" t="n">
        <v>-100</v>
      </c>
      <c r="P2639" t="n">
        <v>0.002266</v>
      </c>
      <c r="Q2639" t="n">
        <v>-40</v>
      </c>
      <c r="R2639" t="n">
        <v>0.01797</v>
      </c>
      <c r="S2639">
        <f>IMAGE("https://mitra.stanford.edu/kundaje/oak/projects/neuro-variants/variant_position/credible/roussos_2024/variant_figures/roussos_2024.childhood.GLU/rs11130874_count_position.png",4,220,900)</f>
        <v/>
      </c>
      <c r="T2639">
        <f>IMAGE("https://mitra.stanford.edu/kundaje/oak/projects/neuro-variants/variant_position/credible/roussos_2024/variant_figures/roussos_2024.childhood.GLU/rs11130874_profile_position.png",4,220,900)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0.0103369804</v>
      </c>
      <c r="G2640" t="n">
        <v>0.6555313748467655</v>
      </c>
      <c r="H2640" t="n">
        <v>0.0155943024648002</v>
      </c>
      <c r="I2640" t="n">
        <v>0.2217302721337172</v>
      </c>
      <c r="J2640" t="n">
        <v>0.0040621426437408</v>
      </c>
      <c r="K2640" t="n">
        <v>0.6940282257193447</v>
      </c>
      <c r="L2640" t="b">
        <v>0</v>
      </c>
      <c r="M2640" t="b">
        <v>0</v>
      </c>
      <c r="N2640" t="inlineStr">
        <is>
          <t>alt</t>
        </is>
      </c>
      <c r="O2640" t="n">
        <v>100</v>
      </c>
      <c r="P2640" t="n">
        <v>0.004322</v>
      </c>
      <c r="Q2640" t="n">
        <v>100</v>
      </c>
      <c r="R2640" t="n">
        <v>0.10175</v>
      </c>
      <c r="S2640">
        <f>IMAGE("https://mitra.stanford.edu/kundaje/oak/projects/neuro-variants/variant_position/credible/roussos_2024/variant_figures/roussos_2024.childhood.GLU/rs11715438_count_position.png",4,220,900)</f>
        <v/>
      </c>
      <c r="T2640">
        <f>IMAGE("https://mitra.stanford.edu/kundaje/oak/projects/neuro-variants/variant_position/credible/roussos_2024/variant_figures/roussos_2024.childhood.GLU/rs11715438_profile_position.png",4,220,900)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0.100925463</v>
      </c>
      <c r="G2641" t="n">
        <v>0.0455982652800196</v>
      </c>
      <c r="H2641" t="n">
        <v>0.0112846638687604</v>
      </c>
      <c r="I2641" t="n">
        <v>0.5130156673155323</v>
      </c>
      <c r="J2641" t="n">
        <v>0.0455592528871809</v>
      </c>
      <c r="K2641" t="n">
        <v>0.3722545347378208</v>
      </c>
      <c r="L2641" t="b">
        <v>0</v>
      </c>
      <c r="M2641" t="b">
        <v>0</v>
      </c>
      <c r="N2641" t="inlineStr">
        <is>
          <t>alt</t>
        </is>
      </c>
      <c r="O2641" t="n">
        <v>100</v>
      </c>
      <c r="P2641" t="n">
        <v>0.02927</v>
      </c>
      <c r="Q2641" t="n">
        <v>30</v>
      </c>
      <c r="R2641" t="n">
        <v>0.08309999999999999</v>
      </c>
      <c r="S2641">
        <f>IMAGE("https://mitra.stanford.edu/kundaje/oak/projects/neuro-variants/variant_position/credible/roussos_2024/variant_figures/roussos_2024.childhood.GLU/rs1859404_count_position.png",4,220,900)</f>
        <v/>
      </c>
      <c r="T2641">
        <f>IMAGE("https://mitra.stanford.edu/kundaje/oak/projects/neuro-variants/variant_position/credible/roussos_2024/variant_figures/roussos_2024.childhood.GLU/rs1859404_profile_position.png",4,220,900)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-0.428081902</v>
      </c>
      <c r="G2642" t="n">
        <v>0.0005660868871907</v>
      </c>
      <c r="H2642" t="n">
        <v>0.0556253243631982</v>
      </c>
      <c r="I2642" t="n">
        <v>0.0018010833139551</v>
      </c>
      <c r="J2642" t="n">
        <v>0.0810306283288862</v>
      </c>
      <c r="K2642" t="n">
        <v>0.2807151443482972</v>
      </c>
      <c r="L2642" t="b">
        <v>1</v>
      </c>
      <c r="M2642" t="b">
        <v>1</v>
      </c>
      <c r="N2642" t="inlineStr">
        <is>
          <t>ref</t>
        </is>
      </c>
      <c r="O2642" t="n">
        <v>10</v>
      </c>
      <c r="P2642" t="n">
        <v>0.001892</v>
      </c>
      <c r="Q2642" t="n">
        <v>-30</v>
      </c>
      <c r="R2642" t="n">
        <v>0.0337</v>
      </c>
      <c r="S2642">
        <f>IMAGE("https://mitra.stanford.edu/kundaje/oak/projects/neuro-variants/variant_position/credible/roussos_2024/variant_figures/roussos_2024.childhood.GLU/rs7646226_count_position.png",4,220,900)</f>
        <v/>
      </c>
      <c r="T2642">
        <f>IMAGE("https://mitra.stanford.edu/kundaje/oak/projects/neuro-variants/variant_position/credible/roussos_2024/variant_figures/roussos_2024.childhood.GLU/rs7646226_profile_position.png",4,220,900)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0.0512882094</v>
      </c>
      <c r="G2643" t="n">
        <v>0.2004192142578201</v>
      </c>
      <c r="H2643" t="n">
        <v>0.0203976661149319</v>
      </c>
      <c r="I2643" t="n">
        <v>0.09176125861964179</v>
      </c>
      <c r="J2643" t="n">
        <v>0.0415939505702246</v>
      </c>
      <c r="K2643" t="n">
        <v>0.378093151823855</v>
      </c>
      <c r="L2643" t="b">
        <v>0</v>
      </c>
      <c r="M2643" t="b">
        <v>0</v>
      </c>
      <c r="N2643" t="inlineStr">
        <is>
          <t>alt</t>
        </is>
      </c>
      <c r="O2643" t="n">
        <v>-95</v>
      </c>
      <c r="P2643" t="n">
        <v>0.006252</v>
      </c>
      <c r="Q2643" t="n">
        <v>100</v>
      </c>
      <c r="R2643" t="n">
        <v>0.0481</v>
      </c>
      <c r="S2643">
        <f>IMAGE("https://mitra.stanford.edu/kundaje/oak/projects/neuro-variants/variant_position/credible/roussos_2024/variant_figures/roussos_2024.childhood.GLU/rs35831310_count_position.png",4,220,900)</f>
        <v/>
      </c>
      <c r="T2643">
        <f>IMAGE("https://mitra.stanford.edu/kundaje/oak/projects/neuro-variants/variant_position/credible/roussos_2024/variant_figures/roussos_2024.childhood.GLU/rs35831310_profile_position.png",4,220,900)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0.01471275604</v>
      </c>
      <c r="G2644" t="n">
        <v>0.5460122990732419</v>
      </c>
      <c r="H2644" t="n">
        <v>0.009223121748818</v>
      </c>
      <c r="I2644" t="n">
        <v>0.7357279748932866</v>
      </c>
      <c r="J2644" t="n">
        <v>0.09904808019203221</v>
      </c>
      <c r="K2644" t="n">
        <v>0.2505365650141871</v>
      </c>
      <c r="L2644" t="b">
        <v>0</v>
      </c>
      <c r="M2644" t="b">
        <v>0</v>
      </c>
      <c r="N2644" t="inlineStr">
        <is>
          <t>alt</t>
        </is>
      </c>
      <c r="O2644" t="n">
        <v>55</v>
      </c>
      <c r="P2644" t="n">
        <v>0.001343</v>
      </c>
      <c r="Q2644" t="n">
        <v>15</v>
      </c>
      <c r="R2644" t="n">
        <v>0.013824</v>
      </c>
      <c r="S2644">
        <f>IMAGE("https://mitra.stanford.edu/kundaje/oak/projects/neuro-variants/variant_position/credible/roussos_2024/variant_figures/roussos_2024.childhood.GLU/rs113467722_count_position.png",4,220,900)</f>
        <v/>
      </c>
      <c r="T2644">
        <f>IMAGE("https://mitra.stanford.edu/kundaje/oak/projects/neuro-variants/variant_position/credible/roussos_2024/variant_figures/roussos_2024.childhood.GLU/rs113467722_profile_position.png",4,220,900)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-0.0917275692</v>
      </c>
      <c r="G2645" t="n">
        <v>0.0578696170715609</v>
      </c>
      <c r="H2645" t="n">
        <v>0.0143209066591813</v>
      </c>
      <c r="I2645" t="n">
        <v>0.2850240832155101</v>
      </c>
      <c r="J2645" t="n">
        <v>0.0701144570245294</v>
      </c>
      <c r="K2645" t="n">
        <v>0.3054060569567781</v>
      </c>
      <c r="L2645" t="b">
        <v>0</v>
      </c>
      <c r="M2645" t="b">
        <v>0</v>
      </c>
      <c r="N2645" t="inlineStr">
        <is>
          <t>ref</t>
        </is>
      </c>
      <c r="O2645" t="n">
        <v>-100</v>
      </c>
      <c r="P2645" t="n">
        <v>0.004326</v>
      </c>
      <c r="Q2645" t="n">
        <v>-25</v>
      </c>
      <c r="R2645" t="n">
        <v>0.01782</v>
      </c>
      <c r="S2645">
        <f>IMAGE("https://mitra.stanford.edu/kundaje/oak/projects/neuro-variants/variant_position/credible/roussos_2024/variant_figures/roussos_2024.childhood.GLU/rs2366683_count_position.png",4,220,900)</f>
        <v/>
      </c>
      <c r="T2645">
        <f>IMAGE("https://mitra.stanford.edu/kundaje/oak/projects/neuro-variants/variant_position/credible/roussos_2024/variant_figures/roussos_2024.childhood.GLU/rs2366683_profile_position.png",4,220,900)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0.0116513645</v>
      </c>
      <c r="G2646" t="n">
        <v>0.2502194115998626</v>
      </c>
      <c r="H2646" t="n">
        <v>0.0229289310587724</v>
      </c>
      <c r="I2646" t="n">
        <v>0.06283800108652809</v>
      </c>
      <c r="J2646" t="n">
        <v>0.1089680323899986</v>
      </c>
      <c r="K2646" t="n">
        <v>0.2316615872283492</v>
      </c>
      <c r="L2646" t="b">
        <v>0</v>
      </c>
      <c r="M2646" t="b">
        <v>0</v>
      </c>
      <c r="N2646" t="inlineStr">
        <is>
          <t>alt</t>
        </is>
      </c>
      <c r="O2646" t="n">
        <v>100</v>
      </c>
      <c r="P2646" t="n">
        <v>0.011185</v>
      </c>
      <c r="Q2646" t="n">
        <v>100</v>
      </c>
      <c r="R2646" t="n">
        <v>0.1604</v>
      </c>
      <c r="S2646">
        <f>IMAGE("https://mitra.stanford.edu/kundaje/oak/projects/neuro-variants/variant_position/credible/roussos_2024/variant_figures/roussos_2024.childhood.GLU/rs13081552_count_position.png",4,220,900)</f>
        <v/>
      </c>
      <c r="T2646">
        <f>IMAGE("https://mitra.stanford.edu/kundaje/oak/projects/neuro-variants/variant_position/credible/roussos_2024/variant_figures/roussos_2024.childhood.GLU/rs13081552_profile_position.png",4,220,900)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-0.0734389954</v>
      </c>
      <c r="G2647" t="n">
        <v>0.0912565664769638</v>
      </c>
      <c r="H2647" t="n">
        <v>0.0187222973280349</v>
      </c>
      <c r="I2647" t="n">
        <v>0.1256800163542865</v>
      </c>
      <c r="J2647" t="n">
        <v>0.5137812026744414</v>
      </c>
      <c r="K2647" t="n">
        <v>0.0401686002336614</v>
      </c>
      <c r="L2647" t="b">
        <v>0</v>
      </c>
      <c r="M2647" t="b">
        <v>0</v>
      </c>
      <c r="N2647" t="inlineStr">
        <is>
          <t>ref</t>
        </is>
      </c>
      <c r="O2647" t="n">
        <v>75</v>
      </c>
      <c r="P2647" t="n">
        <v>0.02606</v>
      </c>
      <c r="Q2647" t="n">
        <v>75</v>
      </c>
      <c r="R2647" t="n">
        <v>0.1934</v>
      </c>
      <c r="S2647">
        <f>IMAGE("https://mitra.stanford.edu/kundaje/oak/projects/neuro-variants/variant_position/credible/roussos_2024/variant_figures/roussos_2024.childhood.GLU/rs1452082_count_position.png",4,220,900)</f>
        <v/>
      </c>
      <c r="T2647">
        <f>IMAGE("https://mitra.stanford.edu/kundaje/oak/projects/neuro-variants/variant_position/credible/roussos_2024/variant_figures/roussos_2024.childhood.GLU/rs1452082_profile_position.png",4,220,900)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-0.1143041361999999</v>
      </c>
      <c r="G2648" t="n">
        <v>0.0340469597887433</v>
      </c>
      <c r="H2648" t="n">
        <v>0.0217331721632644</v>
      </c>
      <c r="I2648" t="n">
        <v>0.0749397345007126</v>
      </c>
      <c r="J2648" t="n">
        <v>0.0143035223093327</v>
      </c>
      <c r="K2648" t="n">
        <v>0.5376485615339756</v>
      </c>
      <c r="L2648" t="b">
        <v>0</v>
      </c>
      <c r="M2648" t="b">
        <v>0</v>
      </c>
      <c r="N2648" t="inlineStr">
        <is>
          <t>ref</t>
        </is>
      </c>
      <c r="O2648" t="n">
        <v>-35</v>
      </c>
      <c r="P2648" t="n">
        <v>0.004684</v>
      </c>
      <c r="Q2648" t="n">
        <v>100</v>
      </c>
      <c r="R2648" t="n">
        <v>0.10077</v>
      </c>
      <c r="S2648">
        <f>IMAGE("https://mitra.stanford.edu/kundaje/oak/projects/neuro-variants/variant_position/credible/roussos_2024/variant_figures/roussos_2024.childhood.GLU/rs6786550_count_position.png",4,220,900)</f>
        <v/>
      </c>
      <c r="T2648">
        <f>IMAGE("https://mitra.stanford.edu/kundaje/oak/projects/neuro-variants/variant_position/credible/roussos_2024/variant_figures/roussos_2024.childhood.GLU/rs6786550_profile_position.png",4,220,900)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-0.01338330688</v>
      </c>
      <c r="G2649" t="n">
        <v>0.6094003023286437</v>
      </c>
      <c r="H2649" t="n">
        <v>0.0324714902490462</v>
      </c>
      <c r="I2649" t="n">
        <v>0.0156059439692621</v>
      </c>
      <c r="J2649" t="n">
        <v>0.1409830323384878</v>
      </c>
      <c r="K2649" t="n">
        <v>0.195512943933229</v>
      </c>
      <c r="L2649" t="b">
        <v>1</v>
      </c>
      <c r="M2649" t="b">
        <v>0</v>
      </c>
      <c r="N2649" t="inlineStr">
        <is>
          <t>ref</t>
        </is>
      </c>
      <c r="O2649" t="n">
        <v>90</v>
      </c>
      <c r="P2649" t="n">
        <v>0.02255</v>
      </c>
      <c r="Q2649" t="n">
        <v>-60</v>
      </c>
      <c r="R2649" t="n">
        <v>0.10815</v>
      </c>
      <c r="S2649">
        <f>IMAGE("https://mitra.stanford.edu/kundaje/oak/projects/neuro-variants/variant_position/credible/roussos_2024/variant_figures/roussos_2024.childhood.GLU/rs72886387_count_position.png",4,220,900)</f>
        <v/>
      </c>
      <c r="T2649">
        <f>IMAGE("https://mitra.stanford.edu/kundaje/oak/projects/neuro-variants/variant_position/credible/roussos_2024/variant_figures/roussos_2024.childhood.GLU/rs72886387_profile_position.png",4,220,900)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-0.032788302</v>
      </c>
      <c r="G2650" t="n">
        <v>0.3199931722269351</v>
      </c>
      <c r="H2650" t="n">
        <v>0.0190132045071903</v>
      </c>
      <c r="I2650" t="n">
        <v>0.1159745805478821</v>
      </c>
      <c r="J2650" t="n">
        <v>0.0460341825749224</v>
      </c>
      <c r="K2650" t="n">
        <v>0.3719286179722076</v>
      </c>
      <c r="L2650" t="b">
        <v>0</v>
      </c>
      <c r="M2650" t="b">
        <v>0</v>
      </c>
      <c r="N2650" t="inlineStr">
        <is>
          <t>ref</t>
        </is>
      </c>
      <c r="O2650" t="n">
        <v>-10</v>
      </c>
      <c r="P2650" t="n">
        <v>0.009509999999999999</v>
      </c>
      <c r="Q2650" t="n">
        <v>-10</v>
      </c>
      <c r="R2650" t="n">
        <v>0.07764</v>
      </c>
      <c r="S2650">
        <f>IMAGE("https://mitra.stanford.edu/kundaje/oak/projects/neuro-variants/variant_position/credible/roussos_2024/variant_figures/roussos_2024.childhood.GLU/rs3774702_count_position.png",4,220,900)</f>
        <v/>
      </c>
      <c r="T2650">
        <f>IMAGE("https://mitra.stanford.edu/kundaje/oak/projects/neuro-variants/variant_position/credible/roussos_2024/variant_figures/roussos_2024.childhood.GLU/rs3774702_profile_position.png",4,220,900)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-0.113922996</v>
      </c>
      <c r="G2651" t="n">
        <v>0.0324417174944566</v>
      </c>
      <c r="H2651" t="n">
        <v>0.0143132898797036</v>
      </c>
      <c r="I2651" t="n">
        <v>0.2842937236608617</v>
      </c>
      <c r="J2651" t="n">
        <v>0.1431238216901727</v>
      </c>
      <c r="K2651" t="n">
        <v>0.1950347244776761</v>
      </c>
      <c r="L2651" t="b">
        <v>0</v>
      </c>
      <c r="M2651" t="b">
        <v>0</v>
      </c>
      <c r="N2651" t="inlineStr">
        <is>
          <t>ref</t>
        </is>
      </c>
      <c r="O2651" t="n">
        <v>-30</v>
      </c>
      <c r="P2651" t="n">
        <v>0.01014</v>
      </c>
      <c r="Q2651" t="n">
        <v>15</v>
      </c>
      <c r="R2651" t="n">
        <v>0.04688</v>
      </c>
      <c r="S2651">
        <f>IMAGE("https://mitra.stanford.edu/kundaje/oak/projects/neuro-variants/variant_position/credible/roussos_2024/variant_figures/roussos_2024.childhood.GLU/rs3774720_count_position.png",4,220,900)</f>
        <v/>
      </c>
      <c r="T2651">
        <f>IMAGE("https://mitra.stanford.edu/kundaje/oak/projects/neuro-variants/variant_position/credible/roussos_2024/variant_figures/roussos_2024.childhood.GLU/rs3774720_profile_position.png",4,220,900)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-0.0215397208</v>
      </c>
      <c r="G2652" t="n">
        <v>0.3731876660235964</v>
      </c>
      <c r="H2652" t="n">
        <v>0.009076876918559899</v>
      </c>
      <c r="I2652" t="n">
        <v>0.7295984188784224</v>
      </c>
      <c r="J2652" t="n">
        <v>0.0659534136215191</v>
      </c>
      <c r="K2652" t="n">
        <v>0.3083035881472669</v>
      </c>
      <c r="L2652" t="b">
        <v>0</v>
      </c>
      <c r="M2652" t="b">
        <v>0</v>
      </c>
      <c r="N2652" t="inlineStr">
        <is>
          <t>ref</t>
        </is>
      </c>
      <c r="O2652" t="n">
        <v>90</v>
      </c>
      <c r="P2652" t="n">
        <v>0.004562</v>
      </c>
      <c r="Q2652" t="n">
        <v>90</v>
      </c>
      <c r="R2652" t="n">
        <v>0.2106</v>
      </c>
      <c r="S2652">
        <f>IMAGE("https://mitra.stanford.edu/kundaje/oak/projects/neuro-variants/variant_position/credible/roussos_2024/variant_figures/roussos_2024.childhood.GLU/rs35838_count_position.png",4,220,900)</f>
        <v/>
      </c>
      <c r="T2652">
        <f>IMAGE("https://mitra.stanford.edu/kundaje/oak/projects/neuro-variants/variant_position/credible/roussos_2024/variant_figures/roussos_2024.childhood.GLU/rs35838_profile_position.png",4,220,900)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-0.0665763104</v>
      </c>
      <c r="G2653" t="n">
        <v>0.1102571535615593</v>
      </c>
      <c r="H2653" t="n">
        <v>0.0100929149062853</v>
      </c>
      <c r="I2653" t="n">
        <v>0.6508742209801023</v>
      </c>
      <c r="J2653" t="n">
        <v>0.0395026115981744</v>
      </c>
      <c r="K2653" t="n">
        <v>0.3934824683094636</v>
      </c>
      <c r="L2653" t="b">
        <v>0</v>
      </c>
      <c r="M2653" t="b">
        <v>0</v>
      </c>
      <c r="N2653" t="inlineStr">
        <is>
          <t>ref</t>
        </is>
      </c>
      <c r="O2653" t="n">
        <v>-70</v>
      </c>
      <c r="P2653" t="n">
        <v>0.0003777</v>
      </c>
      <c r="Q2653" t="n">
        <v>70</v>
      </c>
      <c r="R2653" t="n">
        <v>0.05322</v>
      </c>
      <c r="S2653">
        <f>IMAGE("https://mitra.stanford.edu/kundaje/oak/projects/neuro-variants/variant_position/credible/roussos_2024/variant_figures/roussos_2024.childhood.GLU/rs704375_count_position.png",4,220,900)</f>
        <v/>
      </c>
      <c r="T2653">
        <f>IMAGE("https://mitra.stanford.edu/kundaje/oak/projects/neuro-variants/variant_position/credible/roussos_2024/variant_figures/roussos_2024.childhood.GLU/rs704375_profile_position.png",4,220,900)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-0.044507367</v>
      </c>
      <c r="G2654" t="n">
        <v>0.2184728753291347</v>
      </c>
      <c r="H2654" t="n">
        <v>0.0121448834652919</v>
      </c>
      <c r="I2654" t="n">
        <v>0.4384283122004344</v>
      </c>
      <c r="J2654" t="n">
        <v>0.1106225596752758</v>
      </c>
      <c r="K2654" t="n">
        <v>0.2289121453349258</v>
      </c>
      <c r="L2654" t="b">
        <v>0</v>
      </c>
      <c r="M2654" t="b">
        <v>0</v>
      </c>
      <c r="N2654" t="inlineStr">
        <is>
          <t>ref</t>
        </is>
      </c>
      <c r="O2654" t="n">
        <v>15</v>
      </c>
      <c r="P2654" t="n">
        <v>0.001953</v>
      </c>
      <c r="Q2654" t="n">
        <v>65</v>
      </c>
      <c r="R2654" t="n">
        <v>0.03748</v>
      </c>
      <c r="S2654">
        <f>IMAGE("https://mitra.stanford.edu/kundaje/oak/projects/neuro-variants/variant_position/credible/roussos_2024/variant_figures/roussos_2024.childhood.GLU/rs26936_count_position.png",4,220,900)</f>
        <v/>
      </c>
      <c r="T2654">
        <f>IMAGE("https://mitra.stanford.edu/kundaje/oak/projects/neuro-variants/variant_position/credible/roussos_2024/variant_figures/roussos_2024.childhood.GLU/rs26936_profile_position.png",4,220,900)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0.0204526422</v>
      </c>
      <c r="G2655" t="n">
        <v>0.4570003659494305</v>
      </c>
      <c r="H2655" t="n">
        <v>0.0206670017315398</v>
      </c>
      <c r="I2655" t="n">
        <v>0.0889611300347829</v>
      </c>
      <c r="J2655" t="n">
        <v>0.0412467676965394</v>
      </c>
      <c r="K2655" t="n">
        <v>0.3828728924141556</v>
      </c>
      <c r="L2655" t="b">
        <v>0</v>
      </c>
      <c r="M2655" t="b">
        <v>0</v>
      </c>
      <c r="N2655" t="inlineStr">
        <is>
          <t>alt</t>
        </is>
      </c>
      <c r="O2655" t="n">
        <v>65</v>
      </c>
      <c r="P2655" t="n">
        <v>0.0006866</v>
      </c>
      <c r="Q2655" t="n">
        <v>-100</v>
      </c>
      <c r="R2655" t="n">
        <v>0.09576</v>
      </c>
      <c r="S2655">
        <f>IMAGE("https://mitra.stanford.edu/kundaje/oak/projects/neuro-variants/variant_position/credible/roussos_2024/variant_figures/roussos_2024.childhood.GLU/rs35483362_count_position.png",4,220,900)</f>
        <v/>
      </c>
      <c r="T2655">
        <f>IMAGE("https://mitra.stanford.edu/kundaje/oak/projects/neuro-variants/variant_position/credible/roussos_2024/variant_figures/roussos_2024.childhood.GLU/rs35483362_profile_position.png",4,220,900)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0.1557109219999999</v>
      </c>
      <c r="G2656" t="n">
        <v>0.0152041468189754</v>
      </c>
      <c r="H2656" t="n">
        <v>0.018776529259729</v>
      </c>
      <c r="I2656" t="n">
        <v>0.1225795285724982</v>
      </c>
      <c r="J2656" t="n">
        <v>0.08775794039168811</v>
      </c>
      <c r="K2656" t="n">
        <v>0.2685736746960809</v>
      </c>
      <c r="L2656" t="b">
        <v>1</v>
      </c>
      <c r="M2656" t="b">
        <v>0</v>
      </c>
      <c r="N2656" t="inlineStr">
        <is>
          <t>alt</t>
        </is>
      </c>
      <c r="O2656" t="n">
        <v>-100</v>
      </c>
      <c r="P2656" t="n">
        <v>0.01994</v>
      </c>
      <c r="Q2656" t="n">
        <v>0</v>
      </c>
      <c r="R2656" t="n">
        <v>0</v>
      </c>
      <c r="S2656">
        <f>IMAGE("https://mitra.stanford.edu/kundaje/oak/projects/neuro-variants/variant_position/credible/roussos_2024/variant_figures/roussos_2024.childhood.GLU/rs6805189_count_position.png",4,220,900)</f>
        <v/>
      </c>
      <c r="T2656">
        <f>IMAGE("https://mitra.stanford.edu/kundaje/oak/projects/neuro-variants/variant_position/credible/roussos_2024/variant_figures/roussos_2024.childhood.GLU/rs6805189_profile_position.png",4,220,900)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0.0177731707999999</v>
      </c>
      <c r="G2657" t="n">
        <v>0.5084660287373999</v>
      </c>
      <c r="H2657" t="n">
        <v>0.0288770177189927</v>
      </c>
      <c r="I2657" t="n">
        <v>0.0285393036809365</v>
      </c>
      <c r="J2657" t="n">
        <v>0.1289727713847136</v>
      </c>
      <c r="K2657" t="n">
        <v>0.2086261103542163</v>
      </c>
      <c r="L2657" t="b">
        <v>0</v>
      </c>
      <c r="M2657" t="b">
        <v>0</v>
      </c>
      <c r="N2657" t="inlineStr">
        <is>
          <t>alt</t>
        </is>
      </c>
      <c r="O2657" t="n">
        <v>-5</v>
      </c>
      <c r="P2657" t="n">
        <v>0.0001755</v>
      </c>
      <c r="Q2657" t="n">
        <v>-100</v>
      </c>
      <c r="R2657" t="n">
        <v>0.03522</v>
      </c>
      <c r="S2657">
        <f>IMAGE("https://mitra.stanford.edu/kundaje/oak/projects/neuro-variants/variant_position/credible/roussos_2024/variant_figures/roussos_2024.childhood.GLU/rs6803008_count_position.png",4,220,900)</f>
        <v/>
      </c>
      <c r="T2657">
        <f>IMAGE("https://mitra.stanford.edu/kundaje/oak/projects/neuro-variants/variant_position/credible/roussos_2024/variant_figures/roussos_2024.childhood.GLU/rs6803008_profile_position.png",4,220,900)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-0.154067664</v>
      </c>
      <c r="G2658" t="n">
        <v>0.0166713224168762</v>
      </c>
      <c r="H2658" t="n">
        <v>0.0328586881646224</v>
      </c>
      <c r="I2658" t="n">
        <v>0.0168467882227101</v>
      </c>
      <c r="J2658" t="n">
        <v>0.1520321015381127</v>
      </c>
      <c r="K2658" t="n">
        <v>0.1849154357867815</v>
      </c>
      <c r="L2658" t="b">
        <v>1</v>
      </c>
      <c r="M2658" t="b">
        <v>0</v>
      </c>
      <c r="N2658" t="inlineStr">
        <is>
          <t>ref</t>
        </is>
      </c>
      <c r="O2658" t="n">
        <v>100</v>
      </c>
      <c r="P2658" t="n">
        <v>0.00722</v>
      </c>
      <c r="Q2658" t="n">
        <v>-20</v>
      </c>
      <c r="R2658" t="n">
        <v>0.00415</v>
      </c>
      <c r="S2658">
        <f>IMAGE("https://mitra.stanford.edu/kundaje/oak/projects/neuro-variants/variant_position/credible/roussos_2024/variant_figures/roussos_2024.childhood.GLU/rs17008723_count_position.png",4,220,900)</f>
        <v/>
      </c>
      <c r="T2658">
        <f>IMAGE("https://mitra.stanford.edu/kundaje/oak/projects/neuro-variants/variant_position/credible/roussos_2024/variant_figures/roussos_2024.childhood.GLU/rs17008723_profile_position.png",4,220,900)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-0.07166949739999991</v>
      </c>
      <c r="G2659" t="n">
        <v>0.0932497571970004</v>
      </c>
      <c r="H2659" t="n">
        <v>0.0101191178164826</v>
      </c>
      <c r="I2659" t="n">
        <v>0.6494381649688853</v>
      </c>
      <c r="J2659" t="n">
        <v>0.0222897586203343</v>
      </c>
      <c r="K2659" t="n">
        <v>0.4829335395131589</v>
      </c>
      <c r="L2659" t="b">
        <v>0</v>
      </c>
      <c r="M2659" t="b">
        <v>0</v>
      </c>
      <c r="N2659" t="inlineStr">
        <is>
          <t>ref</t>
        </is>
      </c>
      <c r="O2659" t="n">
        <v>-60</v>
      </c>
      <c r="P2659" t="n">
        <v>0.0067</v>
      </c>
      <c r="Q2659" t="n">
        <v>100</v>
      </c>
      <c r="R2659" t="n">
        <v>0.0737</v>
      </c>
      <c r="S2659">
        <f>IMAGE("https://mitra.stanford.edu/kundaje/oak/projects/neuro-variants/variant_position/credible/roussos_2024/variant_figures/roussos_2024.childhood.GLU/rs1437046_count_position.png",4,220,900)</f>
        <v/>
      </c>
      <c r="T2659">
        <f>IMAGE("https://mitra.stanford.edu/kundaje/oak/projects/neuro-variants/variant_position/credible/roussos_2024/variant_figures/roussos_2024.childhood.GLU/rs1437046_profile_position.png",4,220,900)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-0.0205817216</v>
      </c>
      <c r="G2660" t="n">
        <v>0.4606035360925385</v>
      </c>
      <c r="H2660" t="n">
        <v>0.0164476592672894</v>
      </c>
      <c r="I2660" t="n">
        <v>0.1898616756444523</v>
      </c>
      <c r="J2660" t="n">
        <v>0.0049924279106183</v>
      </c>
      <c r="K2660" t="n">
        <v>0.6789047688961547</v>
      </c>
      <c r="L2660" t="b">
        <v>0</v>
      </c>
      <c r="M2660" t="b">
        <v>0</v>
      </c>
      <c r="N2660" t="inlineStr">
        <is>
          <t>ref</t>
        </is>
      </c>
      <c r="O2660" t="n">
        <v>5</v>
      </c>
      <c r="P2660" t="n">
        <v>7.25e-05</v>
      </c>
      <c r="Q2660" t="n">
        <v>100</v>
      </c>
      <c r="R2660" t="n">
        <v>0.1968</v>
      </c>
      <c r="S2660">
        <f>IMAGE("https://mitra.stanford.edu/kundaje/oak/projects/neuro-variants/variant_position/credible/roussos_2024/variant_figures/roussos_2024.childhood.GLU/rs678585_count_position.png",4,220,900)</f>
        <v/>
      </c>
      <c r="T2660">
        <f>IMAGE("https://mitra.stanford.edu/kundaje/oak/projects/neuro-variants/variant_position/credible/roussos_2024/variant_figures/roussos_2024.childhood.GLU/rs678585_profile_position.png",4,220,900)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-0.008317346479999901</v>
      </c>
      <c r="G2661" t="n">
        <v>0.6921115805504554</v>
      </c>
      <c r="H2661" t="n">
        <v>0.0153215228392413</v>
      </c>
      <c r="I2661" t="n">
        <v>0.2332420215293037</v>
      </c>
      <c r="J2661" t="n">
        <v>0.0810254772476742</v>
      </c>
      <c r="K2661" t="n">
        <v>0.2836737321616472</v>
      </c>
      <c r="L2661" t="b">
        <v>0</v>
      </c>
      <c r="M2661" t="b">
        <v>0</v>
      </c>
      <c r="N2661" t="inlineStr">
        <is>
          <t>ref</t>
        </is>
      </c>
      <c r="O2661" t="n">
        <v>-85</v>
      </c>
      <c r="P2661" t="n">
        <v>0.008835000000000001</v>
      </c>
      <c r="Q2661" t="n">
        <v>95</v>
      </c>
      <c r="R2661" t="n">
        <v>0.1372</v>
      </c>
      <c r="S2661">
        <f>IMAGE("https://mitra.stanford.edu/kundaje/oak/projects/neuro-variants/variant_position/credible/roussos_2024/variant_figures/roussos_2024.childhood.GLU/rs500298_count_position.png",4,220,900)</f>
        <v/>
      </c>
      <c r="T2661">
        <f>IMAGE("https://mitra.stanford.edu/kundaje/oak/projects/neuro-variants/variant_position/credible/roussos_2024/variant_figures/roussos_2024.childhood.GLU/rs500298_profile_position.png",4,220,900)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-0.0158674387599999</v>
      </c>
      <c r="G2662" t="n">
        <v>0.5501180601878023</v>
      </c>
      <c r="H2662" t="n">
        <v>0.0274705664019617</v>
      </c>
      <c r="I2662" t="n">
        <v>0.0304266294788336</v>
      </c>
      <c r="J2662" t="n">
        <v>0.0274130239937362</v>
      </c>
      <c r="K2662" t="n">
        <v>0.4517214527379558</v>
      </c>
      <c r="L2662" t="b">
        <v>0</v>
      </c>
      <c r="M2662" t="b">
        <v>0</v>
      </c>
      <c r="N2662" t="inlineStr">
        <is>
          <t>ref</t>
        </is>
      </c>
      <c r="O2662" t="n">
        <v>5</v>
      </c>
      <c r="P2662" t="n">
        <v>0.0007324</v>
      </c>
      <c r="Q2662" t="n">
        <v>5</v>
      </c>
      <c r="R2662" t="n">
        <v>0.01318</v>
      </c>
      <c r="S2662">
        <f>IMAGE("https://mitra.stanford.edu/kundaje/oak/projects/neuro-variants/variant_position/credible/roussos_2024/variant_figures/roussos_2024.childhood.GLU/rs658551_count_position.png",4,220,900)</f>
        <v/>
      </c>
      <c r="T2662">
        <f>IMAGE("https://mitra.stanford.edu/kundaje/oak/projects/neuro-variants/variant_position/credible/roussos_2024/variant_figures/roussos_2024.childhood.GLU/rs658551_profile_position.png",4,220,900)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-0.0055402551199999</v>
      </c>
      <c r="G2663" t="n">
        <v>0.7034289405594359</v>
      </c>
      <c r="H2663" t="n">
        <v>0.0159385942950341</v>
      </c>
      <c r="I2663" t="n">
        <v>0.205021530743932</v>
      </c>
      <c r="J2663" t="n">
        <v>0.2443652322622518</v>
      </c>
      <c r="K2663" t="n">
        <v>0.12311138860692</v>
      </c>
      <c r="L2663" t="b">
        <v>0</v>
      </c>
      <c r="M2663" t="b">
        <v>0</v>
      </c>
      <c r="N2663" t="inlineStr">
        <is>
          <t>ref</t>
        </is>
      </c>
      <c r="O2663" t="n">
        <v>45</v>
      </c>
      <c r="P2663" t="n">
        <v>0.0162</v>
      </c>
      <c r="Q2663" t="n">
        <v>100</v>
      </c>
      <c r="R2663" t="n">
        <v>0.1892</v>
      </c>
      <c r="S2663">
        <f>IMAGE("https://mitra.stanford.edu/kundaje/oak/projects/neuro-variants/variant_position/credible/roussos_2024/variant_figures/roussos_2024.childhood.GLU/rs627529_count_position.png",4,220,900)</f>
        <v/>
      </c>
      <c r="T2663">
        <f>IMAGE("https://mitra.stanford.edu/kundaje/oak/projects/neuro-variants/variant_position/credible/roussos_2024/variant_figures/roussos_2024.childhood.GLU/rs627529_profile_position.png",4,220,900)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-0.08188820619999999</v>
      </c>
      <c r="G2664" t="n">
        <v>0.0817609219504707</v>
      </c>
      <c r="H2664" t="n">
        <v>0.0204753098084504</v>
      </c>
      <c r="I2664" t="n">
        <v>0.0912684686554515</v>
      </c>
      <c r="J2664" t="n">
        <v>0.0117619788393583</v>
      </c>
      <c r="K2664" t="n">
        <v>0.5741657290773571</v>
      </c>
      <c r="L2664" t="b">
        <v>0</v>
      </c>
      <c r="M2664" t="b">
        <v>0</v>
      </c>
      <c r="N2664" t="inlineStr">
        <is>
          <t>ref</t>
        </is>
      </c>
      <c r="O2664" t="n">
        <v>0</v>
      </c>
      <c r="P2664" t="n">
        <v>0</v>
      </c>
      <c r="Q2664" t="n">
        <v>15</v>
      </c>
      <c r="R2664" t="n">
        <v>0.03052</v>
      </c>
      <c r="S2664">
        <f>IMAGE("https://mitra.stanford.edu/kundaje/oak/projects/neuro-variants/variant_position/credible/roussos_2024/variant_figures/roussos_2024.childhood.GLU/rs7617921_count_position.png",4,220,900)</f>
        <v/>
      </c>
      <c r="T2664">
        <f>IMAGE("https://mitra.stanford.edu/kundaje/oak/projects/neuro-variants/variant_position/credible/roussos_2024/variant_figures/roussos_2024.childhood.GLU/rs7617921_profile_position.png",4,220,900)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0.0963388892</v>
      </c>
      <c r="G2665" t="n">
        <v>0.0497269525760116</v>
      </c>
      <c r="H2665" t="n">
        <v>0.0166406071498692</v>
      </c>
      <c r="I2665" t="n">
        <v>0.1826432902710177</v>
      </c>
      <c r="J2665" t="n">
        <v>0.008638363192434001</v>
      </c>
      <c r="K2665" t="n">
        <v>0.6286622546664372</v>
      </c>
      <c r="L2665" t="b">
        <v>0</v>
      </c>
      <c r="M2665" t="b">
        <v>0</v>
      </c>
      <c r="N2665" t="inlineStr">
        <is>
          <t>alt</t>
        </is>
      </c>
      <c r="O2665" t="n">
        <v>60</v>
      </c>
      <c r="P2665" t="n">
        <v>0.008835000000000001</v>
      </c>
      <c r="Q2665" t="n">
        <v>70</v>
      </c>
      <c r="R2665" t="n">
        <v>0.04565</v>
      </c>
      <c r="S2665">
        <f>IMAGE("https://mitra.stanford.edu/kundaje/oak/projects/neuro-variants/variant_position/credible/roussos_2024/variant_figures/roussos_2024.childhood.GLU/rs613707_count_position.png",4,220,900)</f>
        <v/>
      </c>
      <c r="T2665">
        <f>IMAGE("https://mitra.stanford.edu/kundaje/oak/projects/neuro-variants/variant_position/credible/roussos_2024/variant_figures/roussos_2024.childhood.GLU/rs613707_profile_position.png",4,220,900)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-0.110876591</v>
      </c>
      <c r="G2666" t="n">
        <v>0.0372101967643548</v>
      </c>
      <c r="H2666" t="n">
        <v>0.0297189359763955</v>
      </c>
      <c r="I2666" t="n">
        <v>0.0231266782881232</v>
      </c>
      <c r="J2666" t="n">
        <v>0.0086970855182502</v>
      </c>
      <c r="K2666" t="n">
        <v>0.6059247938026281</v>
      </c>
      <c r="L2666" t="b">
        <v>0</v>
      </c>
      <c r="M2666" t="b">
        <v>0</v>
      </c>
      <c r="N2666" t="inlineStr">
        <is>
          <t>ref</t>
        </is>
      </c>
      <c r="O2666" t="n">
        <v>-35</v>
      </c>
      <c r="P2666" t="n">
        <v>0.01068</v>
      </c>
      <c r="Q2666" t="n">
        <v>-100</v>
      </c>
      <c r="R2666" t="n">
        <v>0.01703</v>
      </c>
      <c r="S2666">
        <f>IMAGE("https://mitra.stanford.edu/kundaje/oak/projects/neuro-variants/variant_position/credible/roussos_2024/variant_figures/roussos_2024.childhood.GLU/rs9832758_count_position.png",4,220,900)</f>
        <v/>
      </c>
      <c r="T2666">
        <f>IMAGE("https://mitra.stanford.edu/kundaje/oak/projects/neuro-variants/variant_position/credible/roussos_2024/variant_figures/roussos_2024.childhood.GLU/rs9832758_profile_position.png",4,220,900)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0.1332265932</v>
      </c>
      <c r="G2667" t="n">
        <v>0.0273367096755656</v>
      </c>
      <c r="H2667" t="n">
        <v>0.0321149209401005</v>
      </c>
      <c r="I2667" t="n">
        <v>0.0185377943095943</v>
      </c>
      <c r="J2667" t="n">
        <v>0.0198069374761762</v>
      </c>
      <c r="K2667" t="n">
        <v>0.5030487526524334</v>
      </c>
      <c r="L2667" t="b">
        <v>1</v>
      </c>
      <c r="M2667" t="b">
        <v>0</v>
      </c>
      <c r="N2667" t="inlineStr">
        <is>
          <t>alt</t>
        </is>
      </c>
      <c r="O2667" t="n">
        <v>-5</v>
      </c>
      <c r="P2667" t="n">
        <v>0.001297</v>
      </c>
      <c r="Q2667" t="n">
        <v>-35</v>
      </c>
      <c r="R2667" t="n">
        <v>0.0747</v>
      </c>
      <c r="S2667">
        <f>IMAGE("https://mitra.stanford.edu/kundaje/oak/projects/neuro-variants/variant_position/credible/roussos_2024/variant_figures/roussos_2024.childhood.GLU/rs7633748_count_position.png",4,220,900)</f>
        <v/>
      </c>
      <c r="T2667">
        <f>IMAGE("https://mitra.stanford.edu/kundaje/oak/projects/neuro-variants/variant_position/credible/roussos_2024/variant_figures/roussos_2024.childhood.GLU/rs7633748_profile_position.png",4,220,900)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0.0009688667140000001</v>
      </c>
      <c r="G2668" t="n">
        <v>0.825007494745173</v>
      </c>
      <c r="H2668" t="n">
        <v>0.0067355749564596</v>
      </c>
      <c r="I2668" t="n">
        <v>0.9571116906793224</v>
      </c>
      <c r="J2668" t="n">
        <v>0.0040394778864083</v>
      </c>
      <c r="K2668" t="n">
        <v>0.6954343849107952</v>
      </c>
      <c r="L2668" t="b">
        <v>0</v>
      </c>
      <c r="M2668" t="b">
        <v>0</v>
      </c>
      <c r="N2668" t="inlineStr">
        <is>
          <t>alt</t>
        </is>
      </c>
      <c r="O2668" t="n">
        <v>-70</v>
      </c>
      <c r="P2668" t="n">
        <v>0.001873</v>
      </c>
      <c r="Q2668" t="n">
        <v>100</v>
      </c>
      <c r="R2668" t="n">
        <v>0.02562</v>
      </c>
      <c r="S2668">
        <f>IMAGE("https://mitra.stanford.edu/kundaje/oak/projects/neuro-variants/variant_position/credible/roussos_2024/variant_figures/roussos_2024.childhood.GLU/rs9865863_count_position.png",4,220,900)</f>
        <v/>
      </c>
      <c r="T2668">
        <f>IMAGE("https://mitra.stanford.edu/kundaje/oak/projects/neuro-variants/variant_position/credible/roussos_2024/variant_figures/roussos_2024.childhood.GLU/rs9865863_profile_position.png",4,220,900)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0.376525988</v>
      </c>
      <c r="G2669" t="n">
        <v>0.0008394912437486</v>
      </c>
      <c r="H2669" t="n">
        <v>0.0517891035379283</v>
      </c>
      <c r="I2669" t="n">
        <v>0.0028288068035735</v>
      </c>
      <c r="J2669" t="n">
        <v>0.0222732751604561</v>
      </c>
      <c r="K2669" t="n">
        <v>0.4833919547215919</v>
      </c>
      <c r="L2669" t="b">
        <v>1</v>
      </c>
      <c r="M2669" t="b">
        <v>1</v>
      </c>
      <c r="N2669" t="inlineStr">
        <is>
          <t>alt</t>
        </is>
      </c>
      <c r="O2669" t="n">
        <v>40</v>
      </c>
      <c r="P2669" t="n">
        <v>0.0038</v>
      </c>
      <c r="Q2669" t="n">
        <v>-80</v>
      </c>
      <c r="R2669" t="n">
        <v>0.02002</v>
      </c>
      <c r="S2669">
        <f>IMAGE("https://mitra.stanford.edu/kundaje/oak/projects/neuro-variants/variant_position/credible/roussos_2024/variant_figures/roussos_2024.childhood.GLU/rs9812564_count_position.png",4,220,900)</f>
        <v/>
      </c>
      <c r="T2669">
        <f>IMAGE("https://mitra.stanford.edu/kundaje/oak/projects/neuro-variants/variant_position/credible/roussos_2024/variant_figures/roussos_2024.childhood.GLU/rs9812564_profile_position.png",4,220,900)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-0.0406599584</v>
      </c>
      <c r="G2670" t="n">
        <v>0.2777931429482334</v>
      </c>
      <c r="H2670" t="n">
        <v>0.0257000210232975</v>
      </c>
      <c r="I2670" t="n">
        <v>0.042092508895192</v>
      </c>
      <c r="J2670" t="n">
        <v>0.0023602254113137</v>
      </c>
      <c r="K2670" t="n">
        <v>0.7577529034258591</v>
      </c>
      <c r="L2670" t="b">
        <v>0</v>
      </c>
      <c r="M2670" t="b">
        <v>0</v>
      </c>
      <c r="N2670" t="inlineStr">
        <is>
          <t>ref</t>
        </is>
      </c>
      <c r="O2670" t="n">
        <v>85</v>
      </c>
      <c r="P2670" t="n">
        <v>0.008789999999999999</v>
      </c>
      <c r="Q2670" t="n">
        <v>5</v>
      </c>
      <c r="R2670" t="n">
        <v>0.0001831</v>
      </c>
      <c r="S2670">
        <f>IMAGE("https://mitra.stanford.edu/kundaje/oak/projects/neuro-variants/variant_position/credible/roussos_2024/variant_figures/roussos_2024.childhood.GLU/rs78929026_count_position.png",4,220,900)</f>
        <v/>
      </c>
      <c r="T2670">
        <f>IMAGE("https://mitra.stanford.edu/kundaje/oak/projects/neuro-variants/variant_position/credible/roussos_2024/variant_figures/roussos_2024.childhood.GLU/rs78929026_profile_position.png",4,220,900)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-0.00529691984</v>
      </c>
      <c r="G2671" t="n">
        <v>0.6042161789166531</v>
      </c>
      <c r="H2671" t="n">
        <v>0.0175081349437897</v>
      </c>
      <c r="I2671" t="n">
        <v>0.1567729510734645</v>
      </c>
      <c r="J2671" t="n">
        <v>0.0015576869584925</v>
      </c>
      <c r="K2671" t="n">
        <v>0.8066563969684222</v>
      </c>
      <c r="L2671" t="b">
        <v>0</v>
      </c>
      <c r="M2671" t="b">
        <v>0</v>
      </c>
      <c r="N2671" t="inlineStr">
        <is>
          <t>ref</t>
        </is>
      </c>
      <c r="O2671" t="n">
        <v>-85</v>
      </c>
      <c r="P2671" t="n">
        <v>0.01648</v>
      </c>
      <c r="Q2671" t="n">
        <v>-100</v>
      </c>
      <c r="R2671" t="n">
        <v>0.163</v>
      </c>
      <c r="S2671">
        <f>IMAGE("https://mitra.stanford.edu/kundaje/oak/projects/neuro-variants/variant_position/credible/roussos_2024/variant_figures/roussos_2024.childhood.GLU/rs9831201_count_position.png",4,220,900)</f>
        <v/>
      </c>
      <c r="T2671">
        <f>IMAGE("https://mitra.stanford.edu/kundaje/oak/projects/neuro-variants/variant_position/credible/roussos_2024/variant_figures/roussos_2024.childhood.GLU/rs9831201_profile_position.png",4,220,900)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0.0726197106</v>
      </c>
      <c r="G2672" t="n">
        <v>0.0896540745530587</v>
      </c>
      <c r="H2672" t="n">
        <v>0.040168515982562</v>
      </c>
      <c r="I2672" t="n">
        <v>0.0065007923682279</v>
      </c>
      <c r="J2672" t="n">
        <v>0.001548415012311</v>
      </c>
      <c r="K2672" t="n">
        <v>0.7881169609000434</v>
      </c>
      <c r="L2672" t="b">
        <v>0</v>
      </c>
      <c r="M2672" t="b">
        <v>0</v>
      </c>
      <c r="N2672" t="inlineStr">
        <is>
          <t>alt</t>
        </is>
      </c>
      <c r="O2672" t="n">
        <v>-95</v>
      </c>
      <c r="P2672" t="n">
        <v>0.00511</v>
      </c>
      <c r="Q2672" t="n">
        <v>60</v>
      </c>
      <c r="R2672" t="n">
        <v>0.1462</v>
      </c>
      <c r="S2672">
        <f>IMAGE("https://mitra.stanford.edu/kundaje/oak/projects/neuro-variants/variant_position/credible/roussos_2024/variant_figures/roussos_2024.childhood.GLU/rs9839468_count_position.png",4,220,900)</f>
        <v/>
      </c>
      <c r="T2672">
        <f>IMAGE("https://mitra.stanford.edu/kundaje/oak/projects/neuro-variants/variant_position/credible/roussos_2024/variant_figures/roussos_2024.childhood.GLU/rs9839468_profile_position.png",4,220,900)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-0.0268674718</v>
      </c>
      <c r="G2673" t="n">
        <v>0.3796642640376936</v>
      </c>
      <c r="H2673" t="n">
        <v>0.0136803242293367</v>
      </c>
      <c r="I2673" t="n">
        <v>0.3247094676462529</v>
      </c>
      <c r="J2673" t="n">
        <v>0.3026826830951816</v>
      </c>
      <c r="K2673" t="n">
        <v>0.0956038935361427</v>
      </c>
      <c r="L2673" t="b">
        <v>0</v>
      </c>
      <c r="M2673" t="b">
        <v>0</v>
      </c>
      <c r="N2673" t="inlineStr">
        <is>
          <t>ref</t>
        </is>
      </c>
      <c r="O2673" t="n">
        <v>-100</v>
      </c>
      <c r="P2673" t="n">
        <v>0.02603</v>
      </c>
      <c r="Q2673" t="n">
        <v>-100</v>
      </c>
      <c r="R2673" t="n">
        <v>0.2366</v>
      </c>
      <c r="S2673">
        <f>IMAGE("https://mitra.stanford.edu/kundaje/oak/projects/neuro-variants/variant_position/credible/roussos_2024/variant_figures/roussos_2024.childhood.GLU/rs2679046_count_position.png",4,220,900)</f>
        <v/>
      </c>
      <c r="T2673">
        <f>IMAGE("https://mitra.stanford.edu/kundaje/oak/projects/neuro-variants/variant_position/credible/roussos_2024/variant_figures/roussos_2024.childhood.GLU/rs2679046_profile_position.png",4,220,900)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-0.12528444</v>
      </c>
      <c r="G2674" t="n">
        <v>0.0297625459665017</v>
      </c>
      <c r="H2674" t="n">
        <v>0.0261054378717759</v>
      </c>
      <c r="I2674" t="n">
        <v>0.0424088839536965</v>
      </c>
      <c r="J2674" t="n">
        <v>0.1388443034192877</v>
      </c>
      <c r="K2674" t="n">
        <v>0.2108163051113226</v>
      </c>
      <c r="L2674" t="b">
        <v>0</v>
      </c>
      <c r="M2674" t="b">
        <v>0</v>
      </c>
      <c r="N2674" t="inlineStr">
        <is>
          <t>ref</t>
        </is>
      </c>
      <c r="O2674" t="n">
        <v>-25</v>
      </c>
      <c r="P2674" t="n">
        <v>0.007385</v>
      </c>
      <c r="Q2674" t="n">
        <v>-30</v>
      </c>
      <c r="R2674" t="n">
        <v>0.0669</v>
      </c>
      <c r="S2674">
        <f>IMAGE("https://mitra.stanford.edu/kundaje/oak/projects/neuro-variants/variant_position/credible/roussos_2024/variant_figures/roussos_2024.childhood.GLU/rs2679042_count_position.png",4,220,900)</f>
        <v/>
      </c>
      <c r="T2674">
        <f>IMAGE("https://mitra.stanford.edu/kundaje/oak/projects/neuro-variants/variant_position/credible/roussos_2024/variant_figures/roussos_2024.childhood.GLU/rs2679042_profile_position.png",4,220,900)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0.00323186188</v>
      </c>
      <c r="G2675" t="n">
        <v>0.6695129065408062</v>
      </c>
      <c r="H2675" t="n">
        <v>0.0273456747489577</v>
      </c>
      <c r="I2675" t="n">
        <v>0.0301548060589661</v>
      </c>
      <c r="J2675" t="n">
        <v>0.0031874890539523</v>
      </c>
      <c r="K2675" t="n">
        <v>0.7172180003153988</v>
      </c>
      <c r="L2675" t="b">
        <v>0</v>
      </c>
      <c r="M2675" t="b">
        <v>0</v>
      </c>
      <c r="N2675" t="inlineStr">
        <is>
          <t>alt</t>
        </is>
      </c>
      <c r="O2675" t="n">
        <v>25</v>
      </c>
      <c r="P2675" t="n">
        <v>0.002693</v>
      </c>
      <c r="Q2675" t="n">
        <v>90</v>
      </c>
      <c r="R2675" t="n">
        <v>0.0678</v>
      </c>
      <c r="S2675">
        <f>IMAGE("https://mitra.stanford.edu/kundaje/oak/projects/neuro-variants/variant_position/credible/roussos_2024/variant_figures/roussos_2024.childhood.GLU/rs2372667_count_position.png",4,220,900)</f>
        <v/>
      </c>
      <c r="T2675">
        <f>IMAGE("https://mitra.stanford.edu/kundaje/oak/projects/neuro-variants/variant_position/credible/roussos_2024/variant_figures/roussos_2024.childhood.GLU/rs2372667_profile_position.png",4,220,900)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-0.0037922152799999</v>
      </c>
      <c r="G2676" t="n">
        <v>0.7754805744200476</v>
      </c>
      <c r="H2676" t="n">
        <v>0.0217065250024146</v>
      </c>
      <c r="I2676" t="n">
        <v>0.0738825276515238</v>
      </c>
      <c r="J2676" t="n">
        <v>0.0021480008653815</v>
      </c>
      <c r="K2676" t="n">
        <v>0.7694653115281093</v>
      </c>
      <c r="L2676" t="b">
        <v>0</v>
      </c>
      <c r="M2676" t="b">
        <v>0</v>
      </c>
      <c r="N2676" t="inlineStr">
        <is>
          <t>ref</t>
        </is>
      </c>
      <c r="O2676" t="n">
        <v>-95</v>
      </c>
      <c r="P2676" t="n">
        <v>0.0199</v>
      </c>
      <c r="Q2676" t="n">
        <v>20</v>
      </c>
      <c r="R2676" t="n">
        <v>0.02544</v>
      </c>
      <c r="S2676">
        <f>IMAGE("https://mitra.stanford.edu/kundaje/oak/projects/neuro-variants/variant_position/credible/roussos_2024/variant_figures/roussos_2024.childhood.GLU/rs2250739_count_position.png",4,220,900)</f>
        <v/>
      </c>
      <c r="T2676">
        <f>IMAGE("https://mitra.stanford.edu/kundaje/oak/projects/neuro-variants/variant_position/credible/roussos_2024/variant_figures/roussos_2024.childhood.GLU/rs2250739_profile_position.png",4,220,900)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-0.041702514</v>
      </c>
      <c r="G2677" t="n">
        <v>0.1551461147780639</v>
      </c>
      <c r="H2677" t="n">
        <v>0.0148886481577322</v>
      </c>
      <c r="I2677" t="n">
        <v>0.2667464402454483</v>
      </c>
      <c r="J2677" t="n">
        <v>0.0171840069230531</v>
      </c>
      <c r="K2677" t="n">
        <v>0.5368035281343235</v>
      </c>
      <c r="L2677" t="b">
        <v>0</v>
      </c>
      <c r="M2677" t="b">
        <v>0</v>
      </c>
      <c r="N2677" t="inlineStr">
        <is>
          <t>ref</t>
        </is>
      </c>
      <c r="O2677" t="n">
        <v>70</v>
      </c>
      <c r="P2677" t="n">
        <v>0.00766</v>
      </c>
      <c r="Q2677" t="n">
        <v>25</v>
      </c>
      <c r="R2677" t="n">
        <v>0.1062</v>
      </c>
      <c r="S2677">
        <f>IMAGE("https://mitra.stanford.edu/kundaje/oak/projects/neuro-variants/variant_position/credible/roussos_2024/variant_figures/roussos_2024.childhood.GLU/rs2639255_count_position.png",4,220,900)</f>
        <v/>
      </c>
      <c r="T2677">
        <f>IMAGE("https://mitra.stanford.edu/kundaje/oak/projects/neuro-variants/variant_position/credible/roussos_2024/variant_figures/roussos_2024.childhood.GLU/rs2639255_profile_position.png",4,220,900)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0.00790351746</v>
      </c>
      <c r="G2678" t="n">
        <v>0.664708101730893</v>
      </c>
      <c r="H2678" t="n">
        <v>0.0245663484772879</v>
      </c>
      <c r="I2678" t="n">
        <v>0.0458205359495048</v>
      </c>
      <c r="J2678" t="n">
        <v>0.1222114621859127</v>
      </c>
      <c r="K2678" t="n">
        <v>0.2176410878841349</v>
      </c>
      <c r="L2678" t="b">
        <v>0</v>
      </c>
      <c r="M2678" t="b">
        <v>0</v>
      </c>
      <c r="N2678" t="inlineStr">
        <is>
          <t>alt</t>
        </is>
      </c>
      <c r="O2678" t="n">
        <v>35</v>
      </c>
      <c r="P2678" t="n">
        <v>0.00124</v>
      </c>
      <c r="Q2678" t="n">
        <v>100</v>
      </c>
      <c r="R2678" t="n">
        <v>0.07434</v>
      </c>
      <c r="S2678">
        <f>IMAGE("https://mitra.stanford.edu/kundaje/oak/projects/neuro-variants/variant_position/credible/roussos_2024/variant_figures/roussos_2024.childhood.GLU/rs2639254_count_position.png",4,220,900)</f>
        <v/>
      </c>
      <c r="T2678">
        <f>IMAGE("https://mitra.stanford.edu/kundaje/oak/projects/neuro-variants/variant_position/credible/roussos_2024/variant_figures/roussos_2024.childhood.GLU/rs2639254_profile_position.png",4,220,900)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-0.0485774187999999</v>
      </c>
      <c r="G2679" t="n">
        <v>0.09217086808572909</v>
      </c>
      <c r="H2679" t="n">
        <v>0.0372371774819171</v>
      </c>
      <c r="I2679" t="n">
        <v>0.012998107659</v>
      </c>
      <c r="J2679" t="n">
        <v>0.0025940844983361</v>
      </c>
      <c r="K2679" t="n">
        <v>0.7489703715434285</v>
      </c>
      <c r="L2679" t="b">
        <v>0</v>
      </c>
      <c r="M2679" t="b">
        <v>0</v>
      </c>
      <c r="N2679" t="inlineStr">
        <is>
          <t>ref</t>
        </is>
      </c>
      <c r="O2679" t="n">
        <v>10</v>
      </c>
      <c r="P2679" t="n">
        <v>0.000824</v>
      </c>
      <c r="Q2679" t="n">
        <v>-85</v>
      </c>
      <c r="R2679" t="n">
        <v>0.01578</v>
      </c>
      <c r="S2679">
        <f>IMAGE("https://mitra.stanford.edu/kundaje/oak/projects/neuro-variants/variant_position/credible/roussos_2024/variant_figures/roussos_2024.childhood.GLU/rs2639213_count_position.png",4,220,900)</f>
        <v/>
      </c>
      <c r="T2679">
        <f>IMAGE("https://mitra.stanford.edu/kundaje/oak/projects/neuro-variants/variant_position/credible/roussos_2024/variant_figures/roussos_2024.childhood.GLU/rs2639213_profile_position.png",4,220,900)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0.1180214639999999</v>
      </c>
      <c r="G2680" t="n">
        <v>0.0308552460273081</v>
      </c>
      <c r="H2680" t="n">
        <v>0.0174013013111851</v>
      </c>
      <c r="I2680" t="n">
        <v>0.1567715116008425</v>
      </c>
      <c r="J2680" t="n">
        <v>0.6276087650797904</v>
      </c>
      <c r="K2680" t="n">
        <v>0.0231989726198709</v>
      </c>
      <c r="L2680" t="b">
        <v>0</v>
      </c>
      <c r="M2680" t="b">
        <v>0</v>
      </c>
      <c r="N2680" t="inlineStr">
        <is>
          <t>alt</t>
        </is>
      </c>
      <c r="O2680" t="n">
        <v>-100</v>
      </c>
      <c r="P2680" t="n">
        <v>0.02466</v>
      </c>
      <c r="Q2680" t="n">
        <v>-75</v>
      </c>
      <c r="R2680" t="n">
        <v>0.186</v>
      </c>
      <c r="S2680">
        <f>IMAGE("https://mitra.stanford.edu/kundaje/oak/projects/neuro-variants/variant_position/credible/roussos_2024/variant_figures/roussos_2024.childhood.GLU/rs7644809_count_position.png",4,220,900)</f>
        <v/>
      </c>
      <c r="T2680">
        <f>IMAGE("https://mitra.stanford.edu/kundaje/oak/projects/neuro-variants/variant_position/credible/roussos_2024/variant_figures/roussos_2024.childhood.GLU/rs7644809_profile_position.png",4,220,900)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-0.07959499034</v>
      </c>
      <c r="G2681" t="n">
        <v>0.0965497342273353</v>
      </c>
      <c r="H2681" t="n">
        <v>0.018380879265063</v>
      </c>
      <c r="I2681" t="n">
        <v>0.1433677568719197</v>
      </c>
      <c r="J2681" t="n">
        <v>0.0255163958914975</v>
      </c>
      <c r="K2681" t="n">
        <v>0.4720008209269007</v>
      </c>
      <c r="L2681" t="b">
        <v>0</v>
      </c>
      <c r="M2681" t="b">
        <v>0</v>
      </c>
      <c r="N2681" t="inlineStr">
        <is>
          <t>ref</t>
        </is>
      </c>
      <c r="O2681" t="n">
        <v>0</v>
      </c>
      <c r="P2681" t="n">
        <v>0</v>
      </c>
      <c r="Q2681" t="n">
        <v>-50</v>
      </c>
      <c r="R2681" t="n">
        <v>0.03052</v>
      </c>
      <c r="S2681">
        <f>IMAGE("https://mitra.stanford.edu/kundaje/oak/projects/neuro-variants/variant_position/credible/roussos_2024/variant_figures/roussos_2024.childhood.GLU/rs3206652_count_position.png",4,220,900)</f>
        <v/>
      </c>
      <c r="T2681">
        <f>IMAGE("https://mitra.stanford.edu/kundaje/oak/projects/neuro-variants/variant_position/credible/roussos_2024/variant_figures/roussos_2024.childhood.GLU/rs3206652_profile_position.png",4,220,900)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-0.0036659006399999</v>
      </c>
      <c r="G2682" t="n">
        <v>0.6736770416331975</v>
      </c>
      <c r="H2682" t="n">
        <v>0.0232255885956263</v>
      </c>
      <c r="I2682" t="n">
        <v>0.0579749172090445</v>
      </c>
      <c r="J2682" t="n">
        <v>0.0065047853544458</v>
      </c>
      <c r="K2682" t="n">
        <v>0.6438201840166009</v>
      </c>
      <c r="L2682" t="b">
        <v>0</v>
      </c>
      <c r="M2682" t="b">
        <v>0</v>
      </c>
      <c r="N2682" t="inlineStr">
        <is>
          <t>ref</t>
        </is>
      </c>
      <c r="O2682" t="n">
        <v>-90</v>
      </c>
      <c r="P2682" t="n">
        <v>0.00406</v>
      </c>
      <c r="Q2682" t="n">
        <v>-45</v>
      </c>
      <c r="R2682" t="n">
        <v>0.044</v>
      </c>
      <c r="S2682">
        <f>IMAGE("https://mitra.stanford.edu/kundaje/oak/projects/neuro-variants/variant_position/credible/roussos_2024/variant_figures/roussos_2024.childhood.GLU/rs3804638_count_position.png",4,220,900)</f>
        <v/>
      </c>
      <c r="T2682">
        <f>IMAGE("https://mitra.stanford.edu/kundaje/oak/projects/neuro-variants/variant_position/credible/roussos_2024/variant_figures/roussos_2024.childhood.GLU/rs3804638_profile_position.png",4,220,900)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-0.037637529</v>
      </c>
      <c r="G2683" t="n">
        <v>0.2864723575716098</v>
      </c>
      <c r="H2683" t="n">
        <v>0.0131804323935454</v>
      </c>
      <c r="I2683" t="n">
        <v>0.3695759766905259</v>
      </c>
      <c r="J2683" t="n">
        <v>0.08471983269288209</v>
      </c>
      <c r="K2683" t="n">
        <v>0.2794238729023071</v>
      </c>
      <c r="L2683" t="b">
        <v>0</v>
      </c>
      <c r="M2683" t="b">
        <v>0</v>
      </c>
      <c r="N2683" t="inlineStr">
        <is>
          <t>ref</t>
        </is>
      </c>
      <c r="O2683" t="n">
        <v>55</v>
      </c>
      <c r="P2683" t="n">
        <v>0.003345</v>
      </c>
      <c r="Q2683" t="n">
        <v>-55</v>
      </c>
      <c r="R2683" t="n">
        <v>0.07513</v>
      </c>
      <c r="S2683">
        <f>IMAGE("https://mitra.stanford.edu/kundaje/oak/projects/neuro-variants/variant_position/credible/roussos_2024/variant_figures/roussos_2024.childhood.GLU/rs7628325_count_position.png",4,220,900)</f>
        <v/>
      </c>
      <c r="T2683">
        <f>IMAGE("https://mitra.stanford.edu/kundaje/oak/projects/neuro-variants/variant_position/credible/roussos_2024/variant_figures/roussos_2024.childhood.GLU/rs7628325_profile_position.png",4,220,900)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0.06311376539999999</v>
      </c>
      <c r="G2684" t="n">
        <v>0.1207643446577397</v>
      </c>
      <c r="H2684" t="n">
        <v>0.0181006038019691</v>
      </c>
      <c r="I2684" t="n">
        <v>0.139229649224469</v>
      </c>
      <c r="J2684" t="n">
        <v>0.1277663881648758</v>
      </c>
      <c r="K2684" t="n">
        <v>0.2134740424632147</v>
      </c>
      <c r="L2684" t="b">
        <v>0</v>
      </c>
      <c r="M2684" t="b">
        <v>0</v>
      </c>
      <c r="N2684" t="inlineStr">
        <is>
          <t>alt</t>
        </is>
      </c>
      <c r="O2684" t="n">
        <v>70</v>
      </c>
      <c r="P2684" t="n">
        <v>0.005024</v>
      </c>
      <c r="Q2684" t="n">
        <v>-25</v>
      </c>
      <c r="R2684" t="n">
        <v>0.0465</v>
      </c>
      <c r="S2684">
        <f>IMAGE("https://mitra.stanford.edu/kundaje/oak/projects/neuro-variants/variant_position/credible/roussos_2024/variant_figures/roussos_2024.childhood.GLU/rs34910554_count_position.png",4,220,900)</f>
        <v/>
      </c>
      <c r="T2684">
        <f>IMAGE("https://mitra.stanford.edu/kundaje/oak/projects/neuro-variants/variant_position/credible/roussos_2024/variant_figures/roussos_2024.childhood.GLU/rs34910554_profile_position.png",4,220,900)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-0.08125252099999999</v>
      </c>
      <c r="G2685" t="n">
        <v>0.0786728038238044</v>
      </c>
      <c r="H2685" t="n">
        <v>0.0166455030329644</v>
      </c>
      <c r="I2685" t="n">
        <v>0.1847877341100609</v>
      </c>
      <c r="J2685" t="n">
        <v>0.2156283803970453</v>
      </c>
      <c r="K2685" t="n">
        <v>0.1375826377487296</v>
      </c>
      <c r="L2685" t="b">
        <v>0</v>
      </c>
      <c r="M2685" t="b">
        <v>0</v>
      </c>
      <c r="N2685" t="inlineStr">
        <is>
          <t>ref</t>
        </is>
      </c>
      <c r="O2685" t="n">
        <v>-95</v>
      </c>
      <c r="P2685" t="n">
        <v>0.00893</v>
      </c>
      <c r="Q2685" t="n">
        <v>80</v>
      </c>
      <c r="R2685" t="n">
        <v>0.09424</v>
      </c>
      <c r="S2685">
        <f>IMAGE("https://mitra.stanford.edu/kundaje/oak/projects/neuro-variants/variant_position/credible/roussos_2024/variant_figures/roussos_2024.childhood.GLU/rs17231503_count_position.png",4,220,900)</f>
        <v/>
      </c>
      <c r="T2685">
        <f>IMAGE("https://mitra.stanford.edu/kundaje/oak/projects/neuro-variants/variant_position/credible/roussos_2024/variant_figures/roussos_2024.childhood.GLU/rs17231503_profile_position.png",4,220,900)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0.0352680258</v>
      </c>
      <c r="G2686" t="n">
        <v>0.2740171622626841</v>
      </c>
      <c r="H2686" t="n">
        <v>0.0132092167527038</v>
      </c>
      <c r="I2686" t="n">
        <v>0.3562361611116919</v>
      </c>
      <c r="J2686" t="n">
        <v>0.3647769066727105</v>
      </c>
      <c r="K2686" t="n">
        <v>0.0744848744241316</v>
      </c>
      <c r="L2686" t="b">
        <v>0</v>
      </c>
      <c r="M2686" t="b">
        <v>0</v>
      </c>
      <c r="N2686" t="inlineStr">
        <is>
          <t>alt</t>
        </is>
      </c>
      <c r="O2686" t="n">
        <v>-100</v>
      </c>
      <c r="P2686" t="n">
        <v>0.004444</v>
      </c>
      <c r="Q2686" t="n">
        <v>45</v>
      </c>
      <c r="R2686" t="n">
        <v>0.0481</v>
      </c>
      <c r="S2686">
        <f>IMAGE("https://mitra.stanford.edu/kundaje/oak/projects/neuro-variants/variant_position/credible/roussos_2024/variant_figures/roussos_2024.childhood.GLU/rs326361_count_position.png",4,220,900)</f>
        <v/>
      </c>
      <c r="T2686">
        <f>IMAGE("https://mitra.stanford.edu/kundaje/oak/projects/neuro-variants/variant_position/credible/roussos_2024/variant_figures/roussos_2024.childhood.GLU/rs326361_profile_position.png",4,220,900)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0.09142815239999991</v>
      </c>
      <c r="G2687" t="n">
        <v>0.0535144547995551</v>
      </c>
      <c r="H2687" t="n">
        <v>0.0090531767231195</v>
      </c>
      <c r="I2687" t="n">
        <v>0.766117204372602</v>
      </c>
      <c r="J2687" t="n">
        <v>0.0036912647964807</v>
      </c>
      <c r="K2687" t="n">
        <v>0.7131730501667285</v>
      </c>
      <c r="L2687" t="b">
        <v>0</v>
      </c>
      <c r="M2687" t="b">
        <v>0</v>
      </c>
      <c r="N2687" t="inlineStr">
        <is>
          <t>alt</t>
        </is>
      </c>
      <c r="O2687" t="n">
        <v>85</v>
      </c>
      <c r="P2687" t="n">
        <v>0.01591</v>
      </c>
      <c r="Q2687" t="n">
        <v>-75</v>
      </c>
      <c r="R2687" t="n">
        <v>0.008240000000000001</v>
      </c>
      <c r="S2687">
        <f>IMAGE("https://mitra.stanford.edu/kundaje/oak/projects/neuro-variants/variant_position/credible/roussos_2024/variant_figures/roussos_2024.childhood.GLU/rs60140727_count_position.png",4,220,900)</f>
        <v/>
      </c>
      <c r="T2687">
        <f>IMAGE("https://mitra.stanford.edu/kundaje/oak/projects/neuro-variants/variant_position/credible/roussos_2024/variant_figures/roussos_2024.childhood.GLU/rs60140727_profile_position.png",4,220,900)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0.0306781244</v>
      </c>
      <c r="G2688" t="n">
        <v>0.3258107670669285</v>
      </c>
      <c r="H2688" t="n">
        <v>0.026240925845199</v>
      </c>
      <c r="I2688" t="n">
        <v>0.0368943229096812</v>
      </c>
      <c r="J2688" t="n">
        <v>0.0237166081160435</v>
      </c>
      <c r="K2688" t="n">
        <v>0.4735843799951475</v>
      </c>
      <c r="L2688" t="b">
        <v>0</v>
      </c>
      <c r="M2688" t="b">
        <v>0</v>
      </c>
      <c r="N2688" t="inlineStr">
        <is>
          <t>alt</t>
        </is>
      </c>
      <c r="O2688" t="n">
        <v>70</v>
      </c>
      <c r="P2688" t="n">
        <v>0.02856</v>
      </c>
      <c r="Q2688" t="n">
        <v>95</v>
      </c>
      <c r="R2688" t="n">
        <v>0.2324</v>
      </c>
      <c r="S2688">
        <f>IMAGE("https://mitra.stanford.edu/kundaje/oak/projects/neuro-variants/variant_position/credible/roussos_2024/variant_figures/roussos_2024.childhood.GLU/rs10514750_count_position.png",4,220,900)</f>
        <v/>
      </c>
      <c r="T2688">
        <f>IMAGE("https://mitra.stanford.edu/kundaje/oak/projects/neuro-variants/variant_position/credible/roussos_2024/variant_figures/roussos_2024.childhood.GLU/rs10514750_profile_position.png",4,220,900)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0.1196482539999999</v>
      </c>
      <c r="G2689" t="n">
        <v>0.0324089478884377</v>
      </c>
      <c r="H2689" t="n">
        <v>0.0158775842262539</v>
      </c>
      <c r="I2689" t="n">
        <v>0.2119530883850385</v>
      </c>
      <c r="J2689" t="n">
        <v>0.0489630873520351</v>
      </c>
      <c r="K2689" t="n">
        <v>0.3536468872282356</v>
      </c>
      <c r="L2689" t="b">
        <v>0</v>
      </c>
      <c r="M2689" t="b">
        <v>0</v>
      </c>
      <c r="N2689" t="inlineStr">
        <is>
          <t>alt</t>
        </is>
      </c>
      <c r="O2689" t="n">
        <v>55</v>
      </c>
      <c r="P2689" t="n">
        <v>0.042</v>
      </c>
      <c r="Q2689" t="n">
        <v>40</v>
      </c>
      <c r="R2689" t="n">
        <v>0.11597</v>
      </c>
      <c r="S2689">
        <f>IMAGE("https://mitra.stanford.edu/kundaje/oak/projects/neuro-variants/variant_position/credible/roussos_2024/variant_figures/roussos_2024.childhood.GLU/rs11926978_count_position.png",4,220,900)</f>
        <v/>
      </c>
      <c r="T2689">
        <f>IMAGE("https://mitra.stanford.edu/kundaje/oak/projects/neuro-variants/variant_position/credible/roussos_2024/variant_figures/roussos_2024.childhood.GLU/rs11926978_profile_position.png",4,220,900)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0.009534329540000001</v>
      </c>
      <c r="G2690" t="n">
        <v>0.3695033544984149</v>
      </c>
      <c r="H2690" t="n">
        <v>0.0187231117705941</v>
      </c>
      <c r="I2690" t="n">
        <v>0.1247218039097765</v>
      </c>
      <c r="J2690" t="n">
        <v>0.043339136884832</v>
      </c>
      <c r="K2690" t="n">
        <v>0.3723487265485602</v>
      </c>
      <c r="L2690" t="b">
        <v>0</v>
      </c>
      <c r="M2690" t="b">
        <v>0</v>
      </c>
      <c r="N2690" t="inlineStr">
        <is>
          <t>alt</t>
        </is>
      </c>
      <c r="O2690" t="n">
        <v>55</v>
      </c>
      <c r="P2690" t="n">
        <v>0.005707</v>
      </c>
      <c r="Q2690" t="n">
        <v>-25</v>
      </c>
      <c r="R2690" t="n">
        <v>0.0842</v>
      </c>
      <c r="S2690">
        <f>IMAGE("https://mitra.stanford.edu/kundaje/oak/projects/neuro-variants/variant_position/credible/roussos_2024/variant_figures/roussos_2024.childhood.GLU/rs11919348_count_position.png",4,220,900)</f>
        <v/>
      </c>
      <c r="T2690">
        <f>IMAGE("https://mitra.stanford.edu/kundaje/oak/projects/neuro-variants/variant_position/credible/roussos_2024/variant_figures/roussos_2024.childhood.GLU/rs11919348_profile_position.png",4,220,900)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-0.143289089</v>
      </c>
      <c r="G2691" t="n">
        <v>0.0210051863639168</v>
      </c>
      <c r="H2691" t="n">
        <v>0.0254078511264006</v>
      </c>
      <c r="I2691" t="n">
        <v>0.0458975769651681</v>
      </c>
      <c r="J2691" t="n">
        <v>0.0076812923032544</v>
      </c>
      <c r="K2691" t="n">
        <v>0.6238549099755587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0.01776</v>
      </c>
      <c r="Q2691" t="n">
        <v>95</v>
      </c>
      <c r="R2691" t="n">
        <v>0.1198</v>
      </c>
      <c r="S2691">
        <f>IMAGE("https://mitra.stanford.edu/kundaje/oak/projects/neuro-variants/variant_position/credible/roussos_2024/variant_figures/roussos_2024.childhood.GLU/rs62264146_count_position.png",4,220,900)</f>
        <v/>
      </c>
      <c r="T2691">
        <f>IMAGE("https://mitra.stanford.edu/kundaje/oak/projects/neuro-variants/variant_position/credible/roussos_2024/variant_figures/roussos_2024.childhood.GLU/rs62264146_profile_position.png",4,220,900)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0.1256179942</v>
      </c>
      <c r="G2692" t="n">
        <v>0.0261877373792076</v>
      </c>
      <c r="H2692" t="n">
        <v>0.0195282563158698</v>
      </c>
      <c r="I2692" t="n">
        <v>0.1058028836942797</v>
      </c>
      <c r="J2692" t="n">
        <v>0.0334542120391069</v>
      </c>
      <c r="K2692" t="n">
        <v>0.4165595241131038</v>
      </c>
      <c r="L2692" t="b">
        <v>0</v>
      </c>
      <c r="M2692" t="b">
        <v>0</v>
      </c>
      <c r="N2692" t="inlineStr">
        <is>
          <t>alt</t>
        </is>
      </c>
      <c r="O2692" t="n">
        <v>-40</v>
      </c>
      <c r="P2692" t="n">
        <v>0.00479</v>
      </c>
      <c r="Q2692" t="n">
        <v>30</v>
      </c>
      <c r="R2692" t="n">
        <v>0.1043</v>
      </c>
      <c r="S2692">
        <f>IMAGE("https://mitra.stanford.edu/kundaje/oak/projects/neuro-variants/variant_position/credible/roussos_2024/variant_figures/roussos_2024.childhood.GLU/rs2035_count_position.png",4,220,900)</f>
        <v/>
      </c>
      <c r="T2692">
        <f>IMAGE("https://mitra.stanford.edu/kundaje/oak/projects/neuro-variants/variant_position/credible/roussos_2024/variant_figures/roussos_2024.childhood.GLU/rs2035_profile_position.png",4,220,900)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0.0298909892</v>
      </c>
      <c r="G2693" t="n">
        <v>0.3418809381702617</v>
      </c>
      <c r="H2693" t="n">
        <v>0.0223957601222195</v>
      </c>
      <c r="I2693" t="n">
        <v>0.06885381286933211</v>
      </c>
      <c r="J2693" t="n">
        <v>0.0011270565691738</v>
      </c>
      <c r="K2693" t="n">
        <v>0.8141554082756395</v>
      </c>
      <c r="L2693" t="b">
        <v>0</v>
      </c>
      <c r="M2693" t="b">
        <v>0</v>
      </c>
      <c r="N2693" t="inlineStr">
        <is>
          <t>alt</t>
        </is>
      </c>
      <c r="O2693" t="n">
        <v>-95</v>
      </c>
      <c r="P2693" t="n">
        <v>0.00743</v>
      </c>
      <c r="Q2693" t="n">
        <v>-65</v>
      </c>
      <c r="R2693" t="n">
        <v>0.10913</v>
      </c>
      <c r="S2693">
        <f>IMAGE("https://mitra.stanford.edu/kundaje/oak/projects/neuro-variants/variant_position/credible/roussos_2024/variant_figures/roussos_2024.childhood.GLU/rs28494587_count_position.png",4,220,900)</f>
        <v/>
      </c>
      <c r="T2693">
        <f>IMAGE("https://mitra.stanford.edu/kundaje/oak/projects/neuro-variants/variant_position/credible/roussos_2024/variant_figures/roussos_2024.childhood.GLU/rs28494587_profile_position.png",4,220,900)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0.01836502192</v>
      </c>
      <c r="G2694" t="n">
        <v>0.4676088619699872</v>
      </c>
      <c r="H2694" t="n">
        <v>0.0202406531278314</v>
      </c>
      <c r="I2694" t="n">
        <v>0.0974166609626276</v>
      </c>
      <c r="J2694" t="n">
        <v>0.0660090452986081</v>
      </c>
      <c r="K2694" t="n">
        <v>0.3154489988452453</v>
      </c>
      <c r="L2694" t="b">
        <v>0</v>
      </c>
      <c r="M2694" t="b">
        <v>0</v>
      </c>
      <c r="N2694" t="inlineStr">
        <is>
          <t>alt</t>
        </is>
      </c>
      <c r="O2694" t="n">
        <v>-45</v>
      </c>
      <c r="P2694" t="n">
        <v>0.003555</v>
      </c>
      <c r="Q2694" t="n">
        <v>-50</v>
      </c>
      <c r="R2694" t="n">
        <v>0.0997</v>
      </c>
      <c r="S2694">
        <f>IMAGE("https://mitra.stanford.edu/kundaje/oak/projects/neuro-variants/variant_position/credible/roussos_2024/variant_figures/roussos_2024.childhood.GLU/rs2305551_count_position.png",4,220,900)</f>
        <v/>
      </c>
      <c r="T2694">
        <f>IMAGE("https://mitra.stanford.edu/kundaje/oak/projects/neuro-variants/variant_position/credible/roussos_2024/variant_figures/roussos_2024.childhood.GLU/rs2305551_profile_position.png",4,220,900)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0.00278107408</v>
      </c>
      <c r="G2695" t="n">
        <v>0.6074213394360954</v>
      </c>
      <c r="H2695" t="n">
        <v>0.0455790412007766</v>
      </c>
      <c r="I2695" t="n">
        <v>0.0040782757310434</v>
      </c>
      <c r="J2695" t="n">
        <v>0.0129920570327711</v>
      </c>
      <c r="K2695" t="n">
        <v>0.5564258322292569</v>
      </c>
      <c r="L2695" t="b">
        <v>1</v>
      </c>
      <c r="M2695" t="b">
        <v>0</v>
      </c>
      <c r="N2695" t="inlineStr">
        <is>
          <t>alt</t>
        </is>
      </c>
      <c r="O2695" t="n">
        <v>100</v>
      </c>
      <c r="P2695" t="n">
        <v>0.007023</v>
      </c>
      <c r="Q2695" t="n">
        <v>-60</v>
      </c>
      <c r="R2695" t="n">
        <v>0.1901</v>
      </c>
      <c r="S2695">
        <f>IMAGE("https://mitra.stanford.edu/kundaje/oak/projects/neuro-variants/variant_position/credible/roussos_2024/variant_figures/roussos_2024.childhood.GLU/rs9826261_count_position.png",4,220,900)</f>
        <v/>
      </c>
      <c r="T2695">
        <f>IMAGE("https://mitra.stanford.edu/kundaje/oak/projects/neuro-variants/variant_position/credible/roussos_2024/variant_figures/roussos_2024.childhood.GLU/rs9826261_profile_position.png",4,220,900)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0.0316414886</v>
      </c>
      <c r="G2696" t="n">
        <v>0.3114829617001581</v>
      </c>
      <c r="H2696" t="n">
        <v>0.0160401357484436</v>
      </c>
      <c r="I2696" t="n">
        <v>0.201279794685292</v>
      </c>
      <c r="J2696" t="n">
        <v>0.0140366963025538</v>
      </c>
      <c r="K2696" t="n">
        <v>0.5479633728862573</v>
      </c>
      <c r="L2696" t="b">
        <v>0</v>
      </c>
      <c r="M2696" t="b">
        <v>0</v>
      </c>
      <c r="N2696" t="inlineStr">
        <is>
          <t>alt</t>
        </is>
      </c>
      <c r="O2696" t="n">
        <v>-20</v>
      </c>
      <c r="P2696" t="n">
        <v>0.02534</v>
      </c>
      <c r="Q2696" t="n">
        <v>-20</v>
      </c>
      <c r="R2696" t="n">
        <v>0.0679</v>
      </c>
      <c r="S2696">
        <f>IMAGE("https://mitra.stanford.edu/kundaje/oak/projects/neuro-variants/variant_position/credible/roussos_2024/variant_figures/roussos_2024.childhood.GLU/rs9830118_count_position.png",4,220,900)</f>
        <v/>
      </c>
      <c r="T2696">
        <f>IMAGE("https://mitra.stanford.edu/kundaje/oak/projects/neuro-variants/variant_position/credible/roussos_2024/variant_figures/roussos_2024.childhood.GLU/rs9830118_profile_position.png",4,220,900)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-0.0598092702</v>
      </c>
      <c r="G2697" t="n">
        <v>0.133770309010474</v>
      </c>
      <c r="H2697" t="n">
        <v>0.0109101983365324</v>
      </c>
      <c r="I2697" t="n">
        <v>0.5576897144487202</v>
      </c>
      <c r="J2697" t="n">
        <v>0.008657937301039399</v>
      </c>
      <c r="K2697" t="n">
        <v>0.6049896551280743</v>
      </c>
      <c r="L2697" t="b">
        <v>0</v>
      </c>
      <c r="M2697" t="b">
        <v>0</v>
      </c>
      <c r="N2697" t="inlineStr">
        <is>
          <t>ref</t>
        </is>
      </c>
      <c r="O2697" t="n">
        <v>-25</v>
      </c>
      <c r="P2697" t="n">
        <v>0.0006104</v>
      </c>
      <c r="Q2697" t="n">
        <v>85</v>
      </c>
      <c r="R2697" t="n">
        <v>0.01678</v>
      </c>
      <c r="S2697">
        <f>IMAGE("https://mitra.stanford.edu/kundaje/oak/projects/neuro-variants/variant_position/credible/roussos_2024/variant_figures/roussos_2024.childhood.GLU/rs11928715_count_position.png",4,220,900)</f>
        <v/>
      </c>
      <c r="T2697">
        <f>IMAGE("https://mitra.stanford.edu/kundaje/oak/projects/neuro-variants/variant_position/credible/roussos_2024/variant_figures/roussos_2024.childhood.GLU/rs11928715_profile_position.png",4,220,900)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-0.01038961778</v>
      </c>
      <c r="G2698" t="n">
        <v>0.6762037825221515</v>
      </c>
      <c r="H2698" t="n">
        <v>0.024896724704367</v>
      </c>
      <c r="I2698" t="n">
        <v>0.0433910463441783</v>
      </c>
      <c r="J2698" t="n">
        <v>0.0158653301327948</v>
      </c>
      <c r="K2698" t="n">
        <v>0.5232922937821275</v>
      </c>
      <c r="L2698" t="b">
        <v>0</v>
      </c>
      <c r="M2698" t="b">
        <v>0</v>
      </c>
      <c r="N2698" t="inlineStr">
        <is>
          <t>ref</t>
        </is>
      </c>
      <c r="O2698" t="n">
        <v>-60</v>
      </c>
      <c r="P2698" t="n">
        <v>0.01613</v>
      </c>
      <c r="Q2698" t="n">
        <v>35</v>
      </c>
      <c r="R2698" t="n">
        <v>0.01196</v>
      </c>
      <c r="S2698">
        <f>IMAGE("https://mitra.stanford.edu/kundaje/oak/projects/neuro-variants/variant_position/credible/roussos_2024/variant_figures/roussos_2024.childhood.GLU/rs11917405_count_position.png",4,220,900)</f>
        <v/>
      </c>
      <c r="T2698">
        <f>IMAGE("https://mitra.stanford.edu/kundaje/oak/projects/neuro-variants/variant_position/credible/roussos_2024/variant_figures/roussos_2024.childhood.GLU/rs11917405_profile_position.png",4,220,900)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0.0454095631999999</v>
      </c>
      <c r="G2699" t="n">
        <v>0.1984548570788366</v>
      </c>
      <c r="H2699" t="n">
        <v>0.0144089233520502</v>
      </c>
      <c r="I2699" t="n">
        <v>0.2747388679258356</v>
      </c>
      <c r="J2699" t="n">
        <v>0.0519867720234477</v>
      </c>
      <c r="K2699" t="n">
        <v>0.3474679424681259</v>
      </c>
      <c r="L2699" t="b">
        <v>0</v>
      </c>
      <c r="M2699" t="b">
        <v>0</v>
      </c>
      <c r="N2699" t="inlineStr">
        <is>
          <t>alt</t>
        </is>
      </c>
      <c r="O2699" t="n">
        <v>95</v>
      </c>
      <c r="P2699" t="n">
        <v>0.0362</v>
      </c>
      <c r="Q2699" t="n">
        <v>-70</v>
      </c>
      <c r="R2699" t="n">
        <v>0.04712</v>
      </c>
      <c r="S2699">
        <f>IMAGE("https://mitra.stanford.edu/kundaje/oak/projects/neuro-variants/variant_position/credible/roussos_2024/variant_figures/roussos_2024.childhood.GLU/rs11921090_count_position.png",4,220,900)</f>
        <v/>
      </c>
      <c r="T2699">
        <f>IMAGE("https://mitra.stanford.edu/kundaje/oak/projects/neuro-variants/variant_position/credible/roussos_2024/variant_figures/roussos_2024.childhood.GLU/rs11921090_profile_position.png",4,220,900)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-0.065670294244</v>
      </c>
      <c r="G2700" t="n">
        <v>0.1086570668602042</v>
      </c>
      <c r="H2700" t="n">
        <v>0.011699578385056</v>
      </c>
      <c r="I2700" t="n">
        <v>0.4708699386119546</v>
      </c>
      <c r="J2700" t="n">
        <v>0.2237526656845271</v>
      </c>
      <c r="K2700" t="n">
        <v>0.1339586090978672</v>
      </c>
      <c r="L2700" t="b">
        <v>0</v>
      </c>
      <c r="M2700" t="b">
        <v>0</v>
      </c>
      <c r="N2700" t="inlineStr">
        <is>
          <t>ref</t>
        </is>
      </c>
      <c r="O2700" t="n">
        <v>-85</v>
      </c>
      <c r="P2700" t="n">
        <v>0.03683</v>
      </c>
      <c r="Q2700" t="n">
        <v>-85</v>
      </c>
      <c r="R2700" t="n">
        <v>0.09520000000000001</v>
      </c>
      <c r="S2700">
        <f>IMAGE("https://mitra.stanford.edu/kundaje/oak/projects/neuro-variants/variant_position/credible/roussos_2024/variant_figures/roussos_2024.childhood.GLU/rs17829242_count_position.png",4,220,900)</f>
        <v/>
      </c>
      <c r="T2700">
        <f>IMAGE("https://mitra.stanford.edu/kundaje/oak/projects/neuro-variants/variant_position/credible/roussos_2024/variant_figures/roussos_2024.childhood.GLU/rs17829242_profile_position.png",4,220,900)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-0.07993050560000001</v>
      </c>
      <c r="G2701" t="n">
        <v>0.08728287453309951</v>
      </c>
      <c r="H2701" t="n">
        <v>0.0207268730820679</v>
      </c>
      <c r="I2701" t="n">
        <v>0.08785636523262889</v>
      </c>
      <c r="J2701" t="n">
        <v>0.0032204559737088</v>
      </c>
      <c r="K2701" t="n">
        <v>0.7196368215005083</v>
      </c>
      <c r="L2701" t="b">
        <v>0</v>
      </c>
      <c r="M2701" t="b">
        <v>0</v>
      </c>
      <c r="N2701" t="inlineStr">
        <is>
          <t>ref</t>
        </is>
      </c>
      <c r="O2701" t="n">
        <v>100</v>
      </c>
      <c r="P2701" t="n">
        <v>0.01357</v>
      </c>
      <c r="Q2701" t="n">
        <v>95</v>
      </c>
      <c r="R2701" t="n">
        <v>0.119</v>
      </c>
      <c r="S2701">
        <f>IMAGE("https://mitra.stanford.edu/kundaje/oak/projects/neuro-variants/variant_position/credible/roussos_2024/variant_figures/roussos_2024.childhood.GLU/rs28377152_count_position.png",4,220,900)</f>
        <v/>
      </c>
      <c r="T2701">
        <f>IMAGE("https://mitra.stanford.edu/kundaje/oak/projects/neuro-variants/variant_position/credible/roussos_2024/variant_figures/roussos_2024.childhood.GLU/rs28377152_profile_position.png",4,220,900)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-0.0839437546</v>
      </c>
      <c r="G2702" t="n">
        <v>0.0832316540317083</v>
      </c>
      <c r="H2702" t="n">
        <v>0.0163306756664042</v>
      </c>
      <c r="I2702" t="n">
        <v>0.2117122123752399</v>
      </c>
      <c r="J2702" t="n">
        <v>0.0341176712992056</v>
      </c>
      <c r="K2702" t="n">
        <v>0.4172898604173867</v>
      </c>
      <c r="L2702" t="b">
        <v>0</v>
      </c>
      <c r="M2702" t="b">
        <v>0</v>
      </c>
      <c r="N2702" t="inlineStr">
        <is>
          <t>ref</t>
        </is>
      </c>
      <c r="O2702" t="n">
        <v>40</v>
      </c>
      <c r="P2702" t="n">
        <v>0.06012</v>
      </c>
      <c r="Q2702" t="n">
        <v>-15</v>
      </c>
      <c r="R2702" t="n">
        <v>0.08295</v>
      </c>
      <c r="S2702">
        <f>IMAGE("https://mitra.stanford.edu/kundaje/oak/projects/neuro-variants/variant_position/credible/roussos_2024/variant_figures/roussos_2024.childhood.GLU/rs11917750_count_position.png",4,220,900)</f>
        <v/>
      </c>
      <c r="T2702">
        <f>IMAGE("https://mitra.stanford.edu/kundaje/oak/projects/neuro-variants/variant_position/credible/roussos_2024/variant_figures/roussos_2024.childhood.GLU/rs11917750_profile_position.png",4,220,900)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-0.041612025</v>
      </c>
      <c r="G2703" t="n">
        <v>0.2394710882144936</v>
      </c>
      <c r="H2703" t="n">
        <v>0.0250154203255199</v>
      </c>
      <c r="I2703" t="n">
        <v>0.0438702831252747</v>
      </c>
      <c r="J2703" t="n">
        <v>0.0365510420637291</v>
      </c>
      <c r="K2703" t="n">
        <v>0.4059901698279325</v>
      </c>
      <c r="L2703" t="b">
        <v>0</v>
      </c>
      <c r="M2703" t="b">
        <v>0</v>
      </c>
      <c r="N2703" t="inlineStr">
        <is>
          <t>ref</t>
        </is>
      </c>
      <c r="O2703" t="n">
        <v>-60</v>
      </c>
      <c r="P2703" t="n">
        <v>0.003021</v>
      </c>
      <c r="Q2703" t="n">
        <v>-30</v>
      </c>
      <c r="R2703" t="n">
        <v>0.04907</v>
      </c>
      <c r="S2703">
        <f>IMAGE("https://mitra.stanford.edu/kundaje/oak/projects/neuro-variants/variant_position/credible/roussos_2024/variant_figures/roussos_2024.childhood.GLU/rs723271_count_position.png",4,220,900)</f>
        <v/>
      </c>
      <c r="T2703">
        <f>IMAGE("https://mitra.stanford.edu/kundaje/oak/projects/neuro-variants/variant_position/credible/roussos_2024/variant_figures/roussos_2024.childhood.GLU/rs723271_profile_position.png",4,220,900)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0.026636493</v>
      </c>
      <c r="G2704" t="n">
        <v>0.3792862485088221</v>
      </c>
      <c r="H2704" t="n">
        <v>0.0242819573878413</v>
      </c>
      <c r="I2704" t="n">
        <v>0.0510029172755133</v>
      </c>
      <c r="J2704" t="n">
        <v>0.008680602058372001</v>
      </c>
      <c r="K2704" t="n">
        <v>0.6185548510525625</v>
      </c>
      <c r="L2704" t="b">
        <v>0</v>
      </c>
      <c r="M2704" t="b">
        <v>0</v>
      </c>
      <c r="N2704" t="inlineStr">
        <is>
          <t>alt</t>
        </is>
      </c>
      <c r="O2704" t="n">
        <v>-70</v>
      </c>
      <c r="P2704" t="n">
        <v>0.007607</v>
      </c>
      <c r="Q2704" t="n">
        <v>-85</v>
      </c>
      <c r="R2704" t="n">
        <v>0.1404</v>
      </c>
      <c r="S2704">
        <f>IMAGE("https://mitra.stanford.edu/kundaje/oak/projects/neuro-variants/variant_position/credible/roussos_2024/variant_figures/roussos_2024.childhood.GLU/rs7610003_count_position.png",4,220,900)</f>
        <v/>
      </c>
      <c r="T2704">
        <f>IMAGE("https://mitra.stanford.edu/kundaje/oak/projects/neuro-variants/variant_position/credible/roussos_2024/variant_figures/roussos_2024.childhood.GLU/rs7610003_profile_position.png",4,220,900)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0.0059488394</v>
      </c>
      <c r="G2705" t="n">
        <v>0.5105949645329316</v>
      </c>
      <c r="H2705" t="n">
        <v>0.0126157095889564</v>
      </c>
      <c r="I2705" t="n">
        <v>0.3996932181807218</v>
      </c>
      <c r="J2705" t="n">
        <v>0.0043712075164576</v>
      </c>
      <c r="K2705" t="n">
        <v>0.6991323170256896</v>
      </c>
      <c r="L2705" t="b">
        <v>0</v>
      </c>
      <c r="M2705" t="b">
        <v>0</v>
      </c>
      <c r="N2705" t="inlineStr">
        <is>
          <t>alt</t>
        </is>
      </c>
      <c r="O2705" t="n">
        <v>-90</v>
      </c>
      <c r="P2705" t="n">
        <v>0.008240000000000001</v>
      </c>
      <c r="Q2705" t="n">
        <v>100</v>
      </c>
      <c r="R2705" t="n">
        <v>0.07025000000000001</v>
      </c>
      <c r="S2705">
        <f>IMAGE("https://mitra.stanford.edu/kundaje/oak/projects/neuro-variants/variant_position/credible/roussos_2024/variant_figures/roussos_2024.childhood.GLU/rs7632036_count_position.png",4,220,900)</f>
        <v/>
      </c>
      <c r="T2705">
        <f>IMAGE("https://mitra.stanford.edu/kundaje/oak/projects/neuro-variants/variant_position/credible/roussos_2024/variant_figures/roussos_2024.childhood.GLU/rs7632036_profile_position.png",4,220,900)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0.0209057309199999</v>
      </c>
      <c r="G2706" t="n">
        <v>0.45043303697945</v>
      </c>
      <c r="H2706" t="n">
        <v>0.0207539734232802</v>
      </c>
      <c r="I2706" t="n">
        <v>0.0901440907999095</v>
      </c>
      <c r="J2706" t="n">
        <v>0.0468707181637425</v>
      </c>
      <c r="K2706" t="n">
        <v>0.3757606603878846</v>
      </c>
      <c r="L2706" t="b">
        <v>0</v>
      </c>
      <c r="M2706" t="b">
        <v>0</v>
      </c>
      <c r="N2706" t="inlineStr">
        <is>
          <t>alt</t>
        </is>
      </c>
      <c r="O2706" t="n">
        <v>100</v>
      </c>
      <c r="P2706" t="n">
        <v>0.00553</v>
      </c>
      <c r="Q2706" t="n">
        <v>90</v>
      </c>
      <c r="R2706" t="n">
        <v>0.07199999999999999</v>
      </c>
      <c r="S2706">
        <f>IMAGE("https://mitra.stanford.edu/kundaje/oak/projects/neuro-variants/variant_position/credible/roussos_2024/variant_figures/roussos_2024.childhood.GLU/rs11915212_count_position.png",4,220,900)</f>
        <v/>
      </c>
      <c r="T2706">
        <f>IMAGE("https://mitra.stanford.edu/kundaje/oak/projects/neuro-variants/variant_position/credible/roussos_2024/variant_figures/roussos_2024.childhood.GLU/rs11915212_profile_position.png",4,220,900)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0.0109813548919999</v>
      </c>
      <c r="G2707" t="n">
        <v>0.5841536197979873</v>
      </c>
      <c r="H2707" t="n">
        <v>0.0253147365650913</v>
      </c>
      <c r="I2707" t="n">
        <v>0.0413819348286063</v>
      </c>
      <c r="J2707" t="n">
        <v>0.0906641804114683</v>
      </c>
      <c r="K2707" t="n">
        <v>0.272888539584932</v>
      </c>
      <c r="L2707" t="b">
        <v>0</v>
      </c>
      <c r="M2707" t="b">
        <v>0</v>
      </c>
      <c r="N2707" t="inlineStr">
        <is>
          <t>alt</t>
        </is>
      </c>
      <c r="O2707" t="n">
        <v>0</v>
      </c>
      <c r="P2707" t="n">
        <v>0</v>
      </c>
      <c r="Q2707" t="n">
        <v>-25</v>
      </c>
      <c r="R2707" t="n">
        <v>0.014404</v>
      </c>
      <c r="S2707">
        <f>IMAGE("https://mitra.stanford.edu/kundaje/oak/projects/neuro-variants/variant_position/credible/roussos_2024/variant_figures/roussos_2024.childhood.GLU/rs11915231_count_position.png",4,220,900)</f>
        <v/>
      </c>
      <c r="T2707">
        <f>IMAGE("https://mitra.stanford.edu/kundaje/oak/projects/neuro-variants/variant_position/credible/roussos_2024/variant_figures/roussos_2024.childhood.GLU/rs11915231_profile_position.png",4,220,900)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-0.286757684</v>
      </c>
      <c r="G2708" t="n">
        <v>0.0029339235516338</v>
      </c>
      <c r="H2708" t="n">
        <v>0.0772484830380534</v>
      </c>
      <c r="I2708" t="n">
        <v>0.0006724228620076</v>
      </c>
      <c r="J2708" t="n">
        <v>0.504335149947974</v>
      </c>
      <c r="K2708" t="n">
        <v>0.0416376120516113</v>
      </c>
      <c r="L2708" t="b">
        <v>1</v>
      </c>
      <c r="M2708" t="b">
        <v>1</v>
      </c>
      <c r="N2708" t="inlineStr">
        <is>
          <t>ref</t>
        </is>
      </c>
      <c r="O2708" t="n">
        <v>-5</v>
      </c>
      <c r="P2708" t="n">
        <v>0.002075</v>
      </c>
      <c r="Q2708" t="n">
        <v>-5</v>
      </c>
      <c r="R2708" t="n">
        <v>0.02393</v>
      </c>
      <c r="S2708">
        <f>IMAGE("https://mitra.stanford.edu/kundaje/oak/projects/neuro-variants/variant_position/credible/roussos_2024/variant_figures/roussos_2024.childhood.GLU/rs9818755_count_position.png",4,220,900)</f>
        <v/>
      </c>
      <c r="T2708">
        <f>IMAGE("https://mitra.stanford.edu/kundaje/oak/projects/neuro-variants/variant_position/credible/roussos_2024/variant_figures/roussos_2024.childhood.GLU/rs9818755_profile_position.png",4,220,900)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-0.00596393488</v>
      </c>
      <c r="G2709" t="n">
        <v>0.6698253051019336</v>
      </c>
      <c r="H2709" t="n">
        <v>0.0140778926065089</v>
      </c>
      <c r="I2709" t="n">
        <v>0.3048752345304447</v>
      </c>
      <c r="J2709" t="n">
        <v>0.0933056548569544</v>
      </c>
      <c r="K2709" t="n">
        <v>0.2593127709548653</v>
      </c>
      <c r="L2709" t="b">
        <v>0</v>
      </c>
      <c r="M2709" t="b">
        <v>0</v>
      </c>
      <c r="N2709" t="inlineStr">
        <is>
          <t>ref</t>
        </is>
      </c>
      <c r="O2709" t="n">
        <v>90</v>
      </c>
      <c r="P2709" t="n">
        <v>0.03116</v>
      </c>
      <c r="Q2709" t="n">
        <v>85</v>
      </c>
      <c r="R2709" t="n">
        <v>0.2401</v>
      </c>
      <c r="S2709">
        <f>IMAGE("https://mitra.stanford.edu/kundaje/oak/projects/neuro-variants/variant_position/credible/roussos_2024/variant_figures/roussos_2024.childhood.GLU/rs7647452_count_position.png",4,220,900)</f>
        <v/>
      </c>
      <c r="T2709">
        <f>IMAGE("https://mitra.stanford.edu/kundaje/oak/projects/neuro-variants/variant_position/credible/roussos_2024/variant_figures/roussos_2024.childhood.GLU/rs7647452_profile_position.png",4,220,900)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0.132662529</v>
      </c>
      <c r="G2710" t="n">
        <v>0.0242490855278247</v>
      </c>
      <c r="H2710" t="n">
        <v>0.0407811944686697</v>
      </c>
      <c r="I2710" t="n">
        <v>0.0066639741580724</v>
      </c>
      <c r="J2710" t="n">
        <v>0.0302296352004285</v>
      </c>
      <c r="K2710" t="n">
        <v>0.4298556138985395</v>
      </c>
      <c r="L2710" t="b">
        <v>1</v>
      </c>
      <c r="M2710" t="b">
        <v>0</v>
      </c>
      <c r="N2710" t="inlineStr">
        <is>
          <t>alt</t>
        </is>
      </c>
      <c r="O2710" t="n">
        <v>20</v>
      </c>
      <c r="P2710" t="n">
        <v>0.001118</v>
      </c>
      <c r="Q2710" t="n">
        <v>30</v>
      </c>
      <c r="R2710" t="n">
        <v>0.01697</v>
      </c>
      <c r="S2710">
        <f>IMAGE("https://mitra.stanford.edu/kundaje/oak/projects/neuro-variants/variant_position/credible/roussos_2024/variant_figures/roussos_2024.childhood.GLU/rs17829536_count_position.png",4,220,900)</f>
        <v/>
      </c>
      <c r="T2710">
        <f>IMAGE("https://mitra.stanford.edu/kundaje/oak/projects/neuro-variants/variant_position/credible/roussos_2024/variant_figures/roussos_2024.childhood.GLU/rs17829536_profile_position.png",4,220,900)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-0.114991685</v>
      </c>
      <c r="G2711" t="n">
        <v>0.0336559913949037</v>
      </c>
      <c r="H2711" t="n">
        <v>0.0271700469111317</v>
      </c>
      <c r="I2711" t="n">
        <v>0.0312112961769257</v>
      </c>
      <c r="J2711" t="n">
        <v>0.009039117310723399</v>
      </c>
      <c r="K2711" t="n">
        <v>0.602027676707789</v>
      </c>
      <c r="L2711" t="b">
        <v>0</v>
      </c>
      <c r="M2711" t="b">
        <v>0</v>
      </c>
      <c r="N2711" t="inlineStr">
        <is>
          <t>ref</t>
        </is>
      </c>
      <c r="O2711" t="n">
        <v>100</v>
      </c>
      <c r="P2711" t="n">
        <v>0.01741</v>
      </c>
      <c r="Q2711" t="n">
        <v>-20</v>
      </c>
      <c r="R2711" t="n">
        <v>0.03967</v>
      </c>
      <c r="S2711">
        <f>IMAGE("https://mitra.stanford.edu/kundaje/oak/projects/neuro-variants/variant_position/credible/roussos_2024/variant_figures/roussos_2024.childhood.GLU/rs10514752_count_position.png",4,220,900)</f>
        <v/>
      </c>
      <c r="T2711">
        <f>IMAGE("https://mitra.stanford.edu/kundaje/oak/projects/neuro-variants/variant_position/credible/roussos_2024/variant_figures/roussos_2024.childhood.GLU/rs10514752_profile_position.png",4,220,900)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0.154039232</v>
      </c>
      <c r="G2712" t="n">
        <v>0.0183857852612846</v>
      </c>
      <c r="H2712" t="n">
        <v>0.0172838489742382</v>
      </c>
      <c r="I2712" t="n">
        <v>0.1806673077677608</v>
      </c>
      <c r="J2712" t="n">
        <v>0.3642071970906693</v>
      </c>
      <c r="K2712" t="n">
        <v>0.0745867076162826</v>
      </c>
      <c r="L2712" t="b">
        <v>1</v>
      </c>
      <c r="M2712" t="b">
        <v>0</v>
      </c>
      <c r="N2712" t="inlineStr">
        <is>
          <t>alt</t>
        </is>
      </c>
      <c r="O2712" t="n">
        <v>-85</v>
      </c>
      <c r="P2712" t="n">
        <v>0.01706</v>
      </c>
      <c r="Q2712" t="n">
        <v>-40</v>
      </c>
      <c r="R2712" t="n">
        <v>0.04443</v>
      </c>
      <c r="S2712">
        <f>IMAGE("https://mitra.stanford.edu/kundaje/oak/projects/neuro-variants/variant_position/credible/roussos_2024/variant_figures/roussos_2024.childhood.GLU/rs72933710_count_position.png",4,220,900)</f>
        <v/>
      </c>
      <c r="T2712">
        <f>IMAGE("https://mitra.stanford.edu/kundaje/oak/projects/neuro-variants/variant_position/credible/roussos_2024/variant_figures/roussos_2024.childhood.GLU/rs72933710_profile_position.png",4,220,900)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0.059729882</v>
      </c>
      <c r="G2713" t="n">
        <v>0.1296336969046383</v>
      </c>
      <c r="H2713" t="n">
        <v>0.0146931676684165</v>
      </c>
      <c r="I2713" t="n">
        <v>0.2629050819246008</v>
      </c>
      <c r="J2713" t="n">
        <v>0.0454036902345802</v>
      </c>
      <c r="K2713" t="n">
        <v>0.3736432270538469</v>
      </c>
      <c r="L2713" t="b">
        <v>0</v>
      </c>
      <c r="M2713" t="b">
        <v>0</v>
      </c>
      <c r="N2713" t="inlineStr">
        <is>
          <t>alt</t>
        </is>
      </c>
      <c r="O2713" t="n">
        <v>-95</v>
      </c>
      <c r="P2713" t="n">
        <v>0.06683</v>
      </c>
      <c r="Q2713" t="n">
        <v>-100</v>
      </c>
      <c r="R2713" t="n">
        <v>0.142</v>
      </c>
      <c r="S2713">
        <f>IMAGE("https://mitra.stanford.edu/kundaje/oak/projects/neuro-variants/variant_position/credible/roussos_2024/variant_figures/roussos_2024.childhood.GLU/rs13433942_count_position.png",4,220,900)</f>
        <v/>
      </c>
      <c r="T2713">
        <f>IMAGE("https://mitra.stanford.edu/kundaje/oak/projects/neuro-variants/variant_position/credible/roussos_2024/variant_figures/roussos_2024.childhood.GLU/rs13433942_profile_position.png",4,220,900)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-0.0034343223</v>
      </c>
      <c r="G2714" t="n">
        <v>0.8724851042714128</v>
      </c>
      <c r="H2714" t="n">
        <v>0.0193576775216922</v>
      </c>
      <c r="I2714" t="n">
        <v>0.1090944405454513</v>
      </c>
      <c r="J2714" t="n">
        <v>0.0062204456715464</v>
      </c>
      <c r="K2714" t="n">
        <v>0.6432085253677606</v>
      </c>
      <c r="L2714" t="b">
        <v>0</v>
      </c>
      <c r="M2714" t="b">
        <v>0</v>
      </c>
      <c r="N2714" t="inlineStr">
        <is>
          <t>ref</t>
        </is>
      </c>
      <c r="O2714" t="n">
        <v>100</v>
      </c>
      <c r="P2714" t="n">
        <v>0.00859</v>
      </c>
      <c r="Q2714" t="n">
        <v>-80</v>
      </c>
      <c r="R2714" t="n">
        <v>0.03043</v>
      </c>
      <c r="S2714">
        <f>IMAGE("https://mitra.stanford.edu/kundaje/oak/projects/neuro-variants/variant_position/credible/roussos_2024/variant_figures/roussos_2024.childhood.GLU/rs9816413_count_position.png",4,220,900)</f>
        <v/>
      </c>
      <c r="T2714">
        <f>IMAGE("https://mitra.stanford.edu/kundaje/oak/projects/neuro-variants/variant_position/credible/roussos_2024/variant_figures/roussos_2024.childhood.GLU/rs9816413_profile_position.png",4,220,900)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-0.0578618206</v>
      </c>
      <c r="G2715" t="n">
        <v>0.1495624370655154</v>
      </c>
      <c r="H2715" t="n">
        <v>0.0090430538378381</v>
      </c>
      <c r="I2715" t="n">
        <v>0.7637934653271874</v>
      </c>
      <c r="J2715" t="n">
        <v>0.014518837503992</v>
      </c>
      <c r="K2715" t="n">
        <v>0.5350774251373441</v>
      </c>
      <c r="L2715" t="b">
        <v>0</v>
      </c>
      <c r="M2715" t="b">
        <v>0</v>
      </c>
      <c r="N2715" t="inlineStr">
        <is>
          <t>ref</t>
        </is>
      </c>
      <c r="O2715" t="n">
        <v>60</v>
      </c>
      <c r="P2715" t="n">
        <v>0.01883</v>
      </c>
      <c r="Q2715" t="n">
        <v>100</v>
      </c>
      <c r="R2715" t="n">
        <v>0.22</v>
      </c>
      <c r="S2715">
        <f>IMAGE("https://mitra.stanford.edu/kundaje/oak/projects/neuro-variants/variant_position/credible/roussos_2024/variant_figures/roussos_2024.childhood.GLU/rs17239988_count_position.png",4,220,900)</f>
        <v/>
      </c>
      <c r="T2715">
        <f>IMAGE("https://mitra.stanford.edu/kundaje/oak/projects/neuro-variants/variant_position/credible/roussos_2024/variant_figures/roussos_2024.childhood.GLU/rs17239988_profile_position.png",4,220,900)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0.0739482996</v>
      </c>
      <c r="G2716" t="n">
        <v>0.0865649185598729</v>
      </c>
      <c r="H2716" t="n">
        <v>0.0136207337081672</v>
      </c>
      <c r="I2716" t="n">
        <v>0.329091447612976</v>
      </c>
      <c r="J2716" t="n">
        <v>0.0134731680179669</v>
      </c>
      <c r="K2716" t="n">
        <v>0.5727035266367844</v>
      </c>
      <c r="L2716" t="b">
        <v>0</v>
      </c>
      <c r="M2716" t="b">
        <v>0</v>
      </c>
      <c r="N2716" t="inlineStr">
        <is>
          <t>alt</t>
        </is>
      </c>
      <c r="O2716" t="n">
        <v>-30</v>
      </c>
      <c r="P2716" t="n">
        <v>0.002144</v>
      </c>
      <c r="Q2716" t="n">
        <v>-30</v>
      </c>
      <c r="R2716" t="n">
        <v>0.06104</v>
      </c>
      <c r="S2716">
        <f>IMAGE("https://mitra.stanford.edu/kundaje/oak/projects/neuro-variants/variant_position/credible/roussos_2024/variant_figures/roussos_2024.childhood.GLU/rs9859939_count_position.png",4,220,900)</f>
        <v/>
      </c>
      <c r="T2716">
        <f>IMAGE("https://mitra.stanford.edu/kundaje/oak/projects/neuro-variants/variant_position/credible/roussos_2024/variant_figures/roussos_2024.childhood.GLU/rs9859939_profile_position.png",4,220,900)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0.087216064</v>
      </c>
      <c r="G2717" t="n">
        <v>0.0740262706295086</v>
      </c>
      <c r="H2717" t="n">
        <v>0.0159800178315407</v>
      </c>
      <c r="I2717" t="n">
        <v>0.2219339760204479</v>
      </c>
      <c r="J2717" t="n">
        <v>0.0153945213100229</v>
      </c>
      <c r="K2717" t="n">
        <v>0.5335034282481059</v>
      </c>
      <c r="L2717" t="b">
        <v>0</v>
      </c>
      <c r="M2717" t="b">
        <v>0</v>
      </c>
      <c r="N2717" t="inlineStr">
        <is>
          <t>alt</t>
        </is>
      </c>
      <c r="O2717" t="n">
        <v>20</v>
      </c>
      <c r="P2717" t="n">
        <v>0.000946</v>
      </c>
      <c r="Q2717" t="n">
        <v>-5</v>
      </c>
      <c r="R2717" t="n">
        <v>0.000977</v>
      </c>
      <c r="S2717">
        <f>IMAGE("https://mitra.stanford.edu/kundaje/oak/projects/neuro-variants/variant_position/credible/roussos_2024/variant_figures/roussos_2024.childhood.GLU/rs13323116_count_position.png",4,220,900)</f>
        <v/>
      </c>
      <c r="T2717">
        <f>IMAGE("https://mitra.stanford.edu/kundaje/oak/projects/neuro-variants/variant_position/credible/roussos_2024/variant_figures/roussos_2024.childhood.GLU/rs13323116_profile_position.png",4,220,900)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-0.17308595</v>
      </c>
      <c r="G2718" t="n">
        <v>0.0135869158467434</v>
      </c>
      <c r="H2718" t="n">
        <v>0.0272848298553854</v>
      </c>
      <c r="I2718" t="n">
        <v>0.0370763671310655</v>
      </c>
      <c r="J2718" t="n">
        <v>0.0249260819846085</v>
      </c>
      <c r="K2718" t="n">
        <v>0.4635697361378422</v>
      </c>
      <c r="L2718" t="b">
        <v>1</v>
      </c>
      <c r="M2718" t="b">
        <v>0</v>
      </c>
      <c r="N2718" t="inlineStr">
        <is>
          <t>ref</t>
        </is>
      </c>
      <c r="O2718" t="n">
        <v>-90</v>
      </c>
      <c r="P2718" t="n">
        <v>0.001854</v>
      </c>
      <c r="Q2718" t="n">
        <v>50</v>
      </c>
      <c r="R2718" t="n">
        <v>0.0548</v>
      </c>
      <c r="S2718">
        <f>IMAGE("https://mitra.stanford.edu/kundaje/oak/projects/neuro-variants/variant_position/credible/roussos_2024/variant_figures/roussos_2024.childhood.GLU/rs9868740_count_position.png",4,220,900)</f>
        <v/>
      </c>
      <c r="T2718">
        <f>IMAGE("https://mitra.stanford.edu/kundaje/oak/projects/neuro-variants/variant_position/credible/roussos_2024/variant_figures/roussos_2024.childhood.GLU/rs9868740_profile_position.png",4,220,900)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0.1501733072</v>
      </c>
      <c r="G2719" t="n">
        <v>0.0164595330337805</v>
      </c>
      <c r="H2719" t="n">
        <v>0.0284242830972561</v>
      </c>
      <c r="I2719" t="n">
        <v>0.0280501401225148</v>
      </c>
      <c r="J2719" t="n">
        <v>0.0291942678768273</v>
      </c>
      <c r="K2719" t="n">
        <v>0.4450726510881967</v>
      </c>
      <c r="L2719" t="b">
        <v>1</v>
      </c>
      <c r="M2719" t="b">
        <v>0</v>
      </c>
      <c r="N2719" t="inlineStr">
        <is>
          <t>alt</t>
        </is>
      </c>
      <c r="O2719" t="n">
        <v>-90</v>
      </c>
      <c r="P2719" t="n">
        <v>0.0345</v>
      </c>
      <c r="Q2719" t="n">
        <v>-30</v>
      </c>
      <c r="R2719" t="n">
        <v>0.02942</v>
      </c>
      <c r="S2719">
        <f>IMAGE("https://mitra.stanford.edu/kundaje/oak/projects/neuro-variants/variant_position/credible/roussos_2024/variant_figures/roussos_2024.childhood.GLU/rs9863548_count_position.png",4,220,900)</f>
        <v/>
      </c>
      <c r="T2719">
        <f>IMAGE("https://mitra.stanford.edu/kundaje/oak/projects/neuro-variants/variant_position/credible/roussos_2024/variant_figures/roussos_2024.childhood.GLU/rs9863548_profile_position.png",4,220,900)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-0.0290479502</v>
      </c>
      <c r="G2720" t="n">
        <v>0.3536848704841932</v>
      </c>
      <c r="H2720" t="n">
        <v>0.0132228025877154</v>
      </c>
      <c r="I2720" t="n">
        <v>0.3543143805462483</v>
      </c>
      <c r="J2720" t="n">
        <v>0.000738665045793</v>
      </c>
      <c r="K2720" t="n">
        <v>0.8513755795651291</v>
      </c>
      <c r="L2720" t="b">
        <v>0</v>
      </c>
      <c r="M2720" t="b">
        <v>0</v>
      </c>
      <c r="N2720" t="inlineStr">
        <is>
          <t>ref</t>
        </is>
      </c>
      <c r="O2720" t="n">
        <v>20</v>
      </c>
      <c r="P2720" t="n">
        <v>0.002087</v>
      </c>
      <c r="Q2720" t="n">
        <v>100</v>
      </c>
      <c r="R2720" t="n">
        <v>0.0985</v>
      </c>
      <c r="S2720">
        <f>IMAGE("https://mitra.stanford.edu/kundaje/oak/projects/neuro-variants/variant_position/credible/roussos_2024/variant_figures/roussos_2024.childhood.GLU/rs13318120_count_position.png",4,220,900)</f>
        <v/>
      </c>
      <c r="T2720">
        <f>IMAGE("https://mitra.stanford.edu/kundaje/oak/projects/neuro-variants/variant_position/credible/roussos_2024/variant_figures/roussos_2024.childhood.GLU/rs13318120_profile_position.png",4,220,900)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0.00954445208</v>
      </c>
      <c r="G2721" t="n">
        <v>0.5815802213452274</v>
      </c>
      <c r="H2721" t="n">
        <v>0.0205495076029857</v>
      </c>
      <c r="I2721" t="n">
        <v>0.0894677875496611</v>
      </c>
      <c r="J2721" t="n">
        <v>0.0221795254823987</v>
      </c>
      <c r="K2721" t="n">
        <v>0.4736567917484757</v>
      </c>
      <c r="L2721" t="b">
        <v>0</v>
      </c>
      <c r="M2721" t="b">
        <v>0</v>
      </c>
      <c r="N2721" t="inlineStr">
        <is>
          <t>alt</t>
        </is>
      </c>
      <c r="O2721" t="n">
        <v>100</v>
      </c>
      <c r="P2721" t="n">
        <v>0.0873</v>
      </c>
      <c r="Q2721" t="n">
        <v>95</v>
      </c>
      <c r="R2721" t="n">
        <v>0.2231</v>
      </c>
      <c r="S2721">
        <f>IMAGE("https://mitra.stanford.edu/kundaje/oak/projects/neuro-variants/variant_position/credible/roussos_2024/variant_figures/roussos_2024.childhood.GLU/rs9875102_count_position.png",4,220,900)</f>
        <v/>
      </c>
      <c r="T2721">
        <f>IMAGE("https://mitra.stanford.edu/kundaje/oak/projects/neuro-variants/variant_position/credible/roussos_2024/variant_figures/roussos_2024.childhood.GLU/rs9875102_profile_position.png",4,220,900)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0.270910268</v>
      </c>
      <c r="G2722" t="n">
        <v>0.0028333895473795</v>
      </c>
      <c r="H2722" t="n">
        <v>0.0441882771605905</v>
      </c>
      <c r="I2722" t="n">
        <v>0.0044599022846691</v>
      </c>
      <c r="J2722" t="n">
        <v>0.0553916367045442</v>
      </c>
      <c r="K2722" t="n">
        <v>0.332816789726901</v>
      </c>
      <c r="L2722" t="b">
        <v>1</v>
      </c>
      <c r="M2722" t="b">
        <v>1</v>
      </c>
      <c r="N2722" t="inlineStr">
        <is>
          <t>alt</t>
        </is>
      </c>
      <c r="O2722" t="n">
        <v>90</v>
      </c>
      <c r="P2722" t="n">
        <v>0.01797</v>
      </c>
      <c r="Q2722" t="n">
        <v>60</v>
      </c>
      <c r="R2722" t="n">
        <v>0.1917</v>
      </c>
      <c r="S2722">
        <f>IMAGE("https://mitra.stanford.edu/kundaje/oak/projects/neuro-variants/variant_position/credible/roussos_2024/variant_figures/roussos_2024.childhood.GLU/rs72933753_count_position.png",4,220,900)</f>
        <v/>
      </c>
      <c r="T2722">
        <f>IMAGE("https://mitra.stanford.edu/kundaje/oak/projects/neuro-variants/variant_position/credible/roussos_2024/variant_figures/roussos_2024.childhood.GLU/rs72933753_profile_position.png",4,220,900)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-0.254582132</v>
      </c>
      <c r="G2723" t="n">
        <v>0.0054007978117762</v>
      </c>
      <c r="H2723" t="n">
        <v>0.0406012052370199</v>
      </c>
      <c r="I2723" t="n">
        <v>0.010582572412925</v>
      </c>
      <c r="J2723" t="n">
        <v>0.038501241410572</v>
      </c>
      <c r="K2723" t="n">
        <v>0.3899771869910752</v>
      </c>
      <c r="L2723" t="b">
        <v>1</v>
      </c>
      <c r="M2723" t="b">
        <v>1</v>
      </c>
      <c r="N2723" t="inlineStr">
        <is>
          <t>ref</t>
        </is>
      </c>
      <c r="O2723" t="n">
        <v>100</v>
      </c>
      <c r="P2723" t="n">
        <v>0.01581</v>
      </c>
      <c r="Q2723" t="n">
        <v>-85</v>
      </c>
      <c r="R2723" t="n">
        <v>0.1506</v>
      </c>
      <c r="S2723">
        <f>IMAGE("https://mitra.stanford.edu/kundaje/oak/projects/neuro-variants/variant_position/credible/roussos_2024/variant_figures/roussos_2024.childhood.GLU/rs921582_count_position.png",4,220,900)</f>
        <v/>
      </c>
      <c r="T2723">
        <f>IMAGE("https://mitra.stanford.edu/kundaje/oak/projects/neuro-variants/variant_position/credible/roussos_2024/variant_figures/roussos_2024.childhood.GLU/rs921582_profile_position.png",4,220,900)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0.0511452188</v>
      </c>
      <c r="G2724" t="n">
        <v>0.1770022225923943</v>
      </c>
      <c r="H2724" t="n">
        <v>0.0143140748025189</v>
      </c>
      <c r="I2724" t="n">
        <v>0.2951754569430949</v>
      </c>
      <c r="J2724" t="n">
        <v>0.503260634407162</v>
      </c>
      <c r="K2724" t="n">
        <v>0.0417004593770849</v>
      </c>
      <c r="L2724" t="b">
        <v>0</v>
      </c>
      <c r="M2724" t="b">
        <v>0</v>
      </c>
      <c r="N2724" t="inlineStr">
        <is>
          <t>alt</t>
        </is>
      </c>
      <c r="O2724" t="n">
        <v>-90</v>
      </c>
      <c r="P2724" t="n">
        <v>0.02185</v>
      </c>
      <c r="Q2724" t="n">
        <v>-40</v>
      </c>
      <c r="R2724" t="n">
        <v>0.0708</v>
      </c>
      <c r="S2724">
        <f>IMAGE("https://mitra.stanford.edu/kundaje/oak/projects/neuro-variants/variant_position/credible/roussos_2024/variant_figures/roussos_2024.childhood.GLU/rs1377275_count_position.png",4,220,900)</f>
        <v/>
      </c>
      <c r="T2724">
        <f>IMAGE("https://mitra.stanford.edu/kundaje/oak/projects/neuro-variants/variant_position/credible/roussos_2024/variant_figures/roussos_2024.childhood.GLU/rs1377275_profile_position.png",4,220,900)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0.0914904597999999</v>
      </c>
      <c r="G2725" t="n">
        <v>0.0542157033831486</v>
      </c>
      <c r="H2725" t="n">
        <v>0.0131249251126566</v>
      </c>
      <c r="I2725" t="n">
        <v>0.3603353848415415</v>
      </c>
      <c r="J2725" t="n">
        <v>0.0007953269391244001</v>
      </c>
      <c r="K2725" t="n">
        <v>0.8375351484250537</v>
      </c>
      <c r="L2725" t="b">
        <v>0</v>
      </c>
      <c r="M2725" t="b">
        <v>0</v>
      </c>
      <c r="N2725" t="inlineStr">
        <is>
          <t>alt</t>
        </is>
      </c>
      <c r="O2725" t="n">
        <v>100</v>
      </c>
      <c r="P2725" t="n">
        <v>0.00847</v>
      </c>
      <c r="Q2725" t="n">
        <v>60</v>
      </c>
      <c r="R2725" t="n">
        <v>0.03033</v>
      </c>
      <c r="S2725">
        <f>IMAGE("https://mitra.stanford.edu/kundaje/oak/projects/neuro-variants/variant_position/credible/roussos_2024/variant_figures/roussos_2024.childhood.GLU/rs59142860_count_position.png",4,220,900)</f>
        <v/>
      </c>
      <c r="T2725">
        <f>IMAGE("https://mitra.stanford.edu/kundaje/oak/projects/neuro-variants/variant_position/credible/roussos_2024/variant_figures/roussos_2024.childhood.GLU/rs59142860_profile_position.png",4,220,900)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-0.00355154774</v>
      </c>
      <c r="G2726" t="n">
        <v>0.8328372644941059</v>
      </c>
      <c r="H2726" t="n">
        <v>0.0202020053069741</v>
      </c>
      <c r="I2726" t="n">
        <v>0.09570870911119771</v>
      </c>
      <c r="J2726" t="n">
        <v>0.0024890024416124</v>
      </c>
      <c r="K2726" t="n">
        <v>0.7476523062001861</v>
      </c>
      <c r="L2726" t="b">
        <v>0</v>
      </c>
      <c r="M2726" t="b">
        <v>0</v>
      </c>
      <c r="N2726" t="inlineStr">
        <is>
          <t>ref</t>
        </is>
      </c>
      <c r="O2726" t="n">
        <v>100</v>
      </c>
      <c r="P2726" t="n">
        <v>0.004486</v>
      </c>
      <c r="Q2726" t="n">
        <v>100</v>
      </c>
      <c r="R2726" t="n">
        <v>0.0585</v>
      </c>
      <c r="S2726">
        <f>IMAGE("https://mitra.stanford.edu/kundaje/oak/projects/neuro-variants/variant_position/credible/roussos_2024/variant_figures/roussos_2024.childhood.GLU/rs72933787_count_position.png",4,220,900)</f>
        <v/>
      </c>
      <c r="T2726">
        <f>IMAGE("https://mitra.stanford.edu/kundaje/oak/projects/neuro-variants/variant_position/credible/roussos_2024/variant_figures/roussos_2024.childhood.GLU/rs72933787_profile_position.png",4,220,900)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0.1067335868</v>
      </c>
      <c r="G2727" t="n">
        <v>0.0515465776095097</v>
      </c>
      <c r="H2727" t="n">
        <v>0.0398835667269098</v>
      </c>
      <c r="I2727" t="n">
        <v>0.0075398938259386</v>
      </c>
      <c r="J2727" t="n">
        <v>0.0077049872768293</v>
      </c>
      <c r="K2727" t="n">
        <v>0.6274108137303359</v>
      </c>
      <c r="L2727" t="b">
        <v>0</v>
      </c>
      <c r="M2727" t="b">
        <v>0</v>
      </c>
      <c r="N2727" t="inlineStr">
        <is>
          <t>alt</t>
        </is>
      </c>
      <c r="O2727" t="n">
        <v>85</v>
      </c>
      <c r="P2727" t="n">
        <v>0.005592</v>
      </c>
      <c r="Q2727" t="n">
        <v>80</v>
      </c>
      <c r="R2727" t="n">
        <v>0.1741</v>
      </c>
      <c r="S2727">
        <f>IMAGE("https://mitra.stanford.edu/kundaje/oak/projects/neuro-variants/variant_position/credible/roussos_2024/variant_figures/roussos_2024.childhood.GLU/rs1289771_count_position.png",4,220,900)</f>
        <v/>
      </c>
      <c r="T2727">
        <f>IMAGE("https://mitra.stanford.edu/kundaje/oak/projects/neuro-variants/variant_position/credible/roussos_2024/variant_figures/roussos_2024.childhood.GLU/rs1289771_profile_position.png",4,220,900)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0.005160161566</v>
      </c>
      <c r="G2728" t="n">
        <v>0.7758411015752933</v>
      </c>
      <c r="H2728" t="n">
        <v>0.018001792156419</v>
      </c>
      <c r="I2728" t="n">
        <v>0.14155787521805</v>
      </c>
      <c r="J2728" t="n">
        <v>0.0026260212018502</v>
      </c>
      <c r="K2728" t="n">
        <v>0.7452717211274309</v>
      </c>
      <c r="L2728" t="b">
        <v>0</v>
      </c>
      <c r="M2728" t="b">
        <v>0</v>
      </c>
      <c r="N2728" t="inlineStr">
        <is>
          <t>alt</t>
        </is>
      </c>
      <c r="O2728" t="n">
        <v>100</v>
      </c>
      <c r="P2728" t="n">
        <v>0.005733</v>
      </c>
      <c r="Q2728" t="n">
        <v>-80</v>
      </c>
      <c r="R2728" t="n">
        <v>0.08014</v>
      </c>
      <c r="S2728">
        <f>IMAGE("https://mitra.stanford.edu/kundaje/oak/projects/neuro-variants/variant_position/credible/roussos_2024/variant_figures/roussos_2024.childhood.GLU/rs1289769_count_position.png",4,220,900)</f>
        <v/>
      </c>
      <c r="T2728">
        <f>IMAGE("https://mitra.stanford.edu/kundaje/oak/projects/neuro-variants/variant_position/credible/roussos_2024/variant_figures/roussos_2024.childhood.GLU/rs1289769_profile_position.png",4,220,900)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0.0365408864</v>
      </c>
      <c r="G2729" t="n">
        <v>0.2684471133743842</v>
      </c>
      <c r="H2729" t="n">
        <v>0.009716420424053299</v>
      </c>
      <c r="I2729" t="n">
        <v>0.69531639730776</v>
      </c>
      <c r="J2729" t="n">
        <v>0.0090875374741157</v>
      </c>
      <c r="K2729" t="n">
        <v>0.6011404649378695</v>
      </c>
      <c r="L2729" t="b">
        <v>0</v>
      </c>
      <c r="M2729" t="b">
        <v>0</v>
      </c>
      <c r="N2729" t="inlineStr">
        <is>
          <t>alt</t>
        </is>
      </c>
      <c r="O2729" t="n">
        <v>-25</v>
      </c>
      <c r="P2729" t="n">
        <v>0.006596</v>
      </c>
      <c r="Q2729" t="n">
        <v>70</v>
      </c>
      <c r="R2729" t="n">
        <v>0.117</v>
      </c>
      <c r="S2729">
        <f>IMAGE("https://mitra.stanford.edu/kundaje/oak/projects/neuro-variants/variant_position/credible/roussos_2024/variant_figures/roussos_2024.childhood.GLU/rs62267923_count_position.png",4,220,900)</f>
        <v/>
      </c>
      <c r="T2729">
        <f>IMAGE("https://mitra.stanford.edu/kundaje/oak/projects/neuro-variants/variant_position/credible/roussos_2024/variant_figures/roussos_2024.childhood.GLU/rs62267923_profile_position.png",4,220,900)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-0.0204286126</v>
      </c>
      <c r="G2730" t="n">
        <v>0.4778231004246954</v>
      </c>
      <c r="H2730" t="n">
        <v>0.0262972962860986</v>
      </c>
      <c r="I2730" t="n">
        <v>0.0360006583600852</v>
      </c>
      <c r="J2730" t="n">
        <v>0.0049707933695282</v>
      </c>
      <c r="K2730" t="n">
        <v>0.6716525611438157</v>
      </c>
      <c r="L2730" t="b">
        <v>0</v>
      </c>
      <c r="M2730" t="b">
        <v>0</v>
      </c>
      <c r="N2730" t="inlineStr">
        <is>
          <t>ref</t>
        </is>
      </c>
      <c r="O2730" t="n">
        <v>15</v>
      </c>
      <c r="P2730" t="n">
        <v>0.0007086</v>
      </c>
      <c r="Q2730" t="n">
        <v>-25</v>
      </c>
      <c r="R2730" t="n">
        <v>0.0323</v>
      </c>
      <c r="S2730">
        <f>IMAGE("https://mitra.stanford.edu/kundaje/oak/projects/neuro-variants/variant_position/credible/roussos_2024/variant_figures/roussos_2024.childhood.GLU/rs1289759_count_position.png",4,220,900)</f>
        <v/>
      </c>
      <c r="T2730">
        <f>IMAGE("https://mitra.stanford.edu/kundaje/oak/projects/neuro-variants/variant_position/credible/roussos_2024/variant_figures/roussos_2024.childhood.GLU/rs1289759_profile_position.png",4,220,900)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0.0178822416</v>
      </c>
      <c r="G2731" t="n">
        <v>0.4790481113154309</v>
      </c>
      <c r="H2731" t="n">
        <v>0.0104023664415591</v>
      </c>
      <c r="I2731" t="n">
        <v>0.5931825656291616</v>
      </c>
      <c r="J2731" t="n">
        <v>0.2970844880340383</v>
      </c>
      <c r="K2731" t="n">
        <v>0.0982681477776023</v>
      </c>
      <c r="L2731" t="b">
        <v>0</v>
      </c>
      <c r="M2731" t="b">
        <v>0</v>
      </c>
      <c r="N2731" t="inlineStr">
        <is>
          <t>alt</t>
        </is>
      </c>
      <c r="O2731" t="n">
        <v>100</v>
      </c>
      <c r="P2731" t="n">
        <v>0.014694</v>
      </c>
      <c r="Q2731" t="n">
        <v>100</v>
      </c>
      <c r="R2731" t="n">
        <v>0.124</v>
      </c>
      <c r="S2731">
        <f>IMAGE("https://mitra.stanford.edu/kundaje/oak/projects/neuro-variants/variant_position/credible/roussos_2024/variant_figures/roussos_2024.childhood.GLU/rs9842435_count_position.png",4,220,900)</f>
        <v/>
      </c>
      <c r="T2731">
        <f>IMAGE("https://mitra.stanford.edu/kundaje/oak/projects/neuro-variants/variant_position/credible/roussos_2024/variant_figures/roussos_2024.childhood.GLU/rs9842435_profile_position.png",4,220,900)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0.1050684604</v>
      </c>
      <c r="G2732" t="n">
        <v>0.0492129359264325</v>
      </c>
      <c r="H2732" t="n">
        <v>0.0299614427648821</v>
      </c>
      <c r="I2732" t="n">
        <v>0.0215418874446839</v>
      </c>
      <c r="J2732" t="n">
        <v>0.3555935590880525</v>
      </c>
      <c r="K2732" t="n">
        <v>0.0776137272418128</v>
      </c>
      <c r="L2732" t="b">
        <v>0</v>
      </c>
      <c r="M2732" t="b">
        <v>0</v>
      </c>
      <c r="N2732" t="inlineStr">
        <is>
          <t>alt</t>
        </is>
      </c>
      <c r="O2732" t="n">
        <v>90</v>
      </c>
      <c r="P2732" t="n">
        <v>0.07920000000000001</v>
      </c>
      <c r="Q2732" t="n">
        <v>90</v>
      </c>
      <c r="R2732" t="n">
        <v>0.1289</v>
      </c>
      <c r="S2732">
        <f>IMAGE("https://mitra.stanford.edu/kundaje/oak/projects/neuro-variants/variant_position/credible/roussos_2024/variant_figures/roussos_2024.childhood.GLU/rs6799997_count_position.png",4,220,900)</f>
        <v/>
      </c>
      <c r="T2732">
        <f>IMAGE("https://mitra.stanford.edu/kundaje/oak/projects/neuro-variants/variant_position/credible/roussos_2024/variant_figures/roussos_2024.childhood.GLU/rs6799997_profile_position.png",4,220,900)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0.01632536454</v>
      </c>
      <c r="G2733" t="n">
        <v>0.4715732381876738</v>
      </c>
      <c r="H2733" t="n">
        <v>0.0131340762475428</v>
      </c>
      <c r="I2733" t="n">
        <v>0.3664215771492434</v>
      </c>
      <c r="J2733" t="n">
        <v>0.0124079244233364</v>
      </c>
      <c r="K2733" t="n">
        <v>0.5553018617064726</v>
      </c>
      <c r="L2733" t="b">
        <v>0</v>
      </c>
      <c r="M2733" t="b">
        <v>0</v>
      </c>
      <c r="N2733" t="inlineStr">
        <is>
          <t>alt</t>
        </is>
      </c>
      <c r="O2733" t="n">
        <v>80</v>
      </c>
      <c r="P2733" t="n">
        <v>0.008449999999999999</v>
      </c>
      <c r="Q2733" t="n">
        <v>80</v>
      </c>
      <c r="R2733" t="n">
        <v>0.065</v>
      </c>
      <c r="S2733">
        <f>IMAGE("https://mitra.stanford.edu/kundaje/oak/projects/neuro-variants/variant_position/credible/roussos_2024/variant_figures/roussos_2024.childhood.GLU/rs55979908_count_position.png",4,220,900)</f>
        <v/>
      </c>
      <c r="T2733">
        <f>IMAGE("https://mitra.stanford.edu/kundaje/oak/projects/neuro-variants/variant_position/credible/roussos_2024/variant_figures/roussos_2024.childhood.GLU/rs55979908_profile_position.png",4,220,900)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0.0368463536</v>
      </c>
      <c r="G2734" t="n">
        <v>0.252836329821238</v>
      </c>
      <c r="H2734" t="n">
        <v>0.0266565349551859</v>
      </c>
      <c r="I2734" t="n">
        <v>0.0333705740703514</v>
      </c>
      <c r="J2734" t="n">
        <v>0.0450503260634406</v>
      </c>
      <c r="K2734" t="n">
        <v>0.3670860564104445</v>
      </c>
      <c r="L2734" t="b">
        <v>0</v>
      </c>
      <c r="M2734" t="b">
        <v>0</v>
      </c>
      <c r="N2734" t="inlineStr">
        <is>
          <t>alt</t>
        </is>
      </c>
      <c r="O2734" t="n">
        <v>-95</v>
      </c>
      <c r="P2734" t="n">
        <v>0.03235</v>
      </c>
      <c r="Q2734" t="n">
        <v>65</v>
      </c>
      <c r="R2734" t="n">
        <v>0.1829</v>
      </c>
      <c r="S2734">
        <f>IMAGE("https://mitra.stanford.edu/kundaje/oak/projects/neuro-variants/variant_position/credible/roussos_2024/variant_figures/roussos_2024.childhood.GLU/rs62263082_count_position.png",4,220,900)</f>
        <v/>
      </c>
      <c r="T2734">
        <f>IMAGE("https://mitra.stanford.edu/kundaje/oak/projects/neuro-variants/variant_position/credible/roussos_2024/variant_figures/roussos_2024.childhood.GLU/rs62263082_profile_position.png",4,220,900)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-0.0507924658</v>
      </c>
      <c r="G2735" t="n">
        <v>0.1820958254005091</v>
      </c>
      <c r="H2735" t="n">
        <v>0.0213141762456101</v>
      </c>
      <c r="I2735" t="n">
        <v>0.07923210830655671</v>
      </c>
      <c r="J2735" t="n">
        <v>0.1480183790577642</v>
      </c>
      <c r="K2735" t="n">
        <v>0.1938106135278639</v>
      </c>
      <c r="L2735" t="b">
        <v>0</v>
      </c>
      <c r="M2735" t="b">
        <v>0</v>
      </c>
      <c r="N2735" t="inlineStr">
        <is>
          <t>ref</t>
        </is>
      </c>
      <c r="O2735" t="n">
        <v>-55</v>
      </c>
      <c r="P2735" t="n">
        <v>0.0337</v>
      </c>
      <c r="Q2735" t="n">
        <v>-50</v>
      </c>
      <c r="R2735" t="n">
        <v>0.1782</v>
      </c>
      <c r="S2735">
        <f>IMAGE("https://mitra.stanford.edu/kundaje/oak/projects/neuro-variants/variant_position/credible/roussos_2024/variant_figures/roussos_2024.childhood.GLU/rs55704727_count_position.png",4,220,900)</f>
        <v/>
      </c>
      <c r="T2735">
        <f>IMAGE("https://mitra.stanford.edu/kundaje/oak/projects/neuro-variants/variant_position/credible/roussos_2024/variant_figures/roussos_2024.childhood.GLU/rs55704727_profile_position.png",4,220,900)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0.008962139252</v>
      </c>
      <c r="G2736" t="n">
        <v>0.6631918462783084</v>
      </c>
      <c r="H2736" t="n">
        <v>0.0184913904991121</v>
      </c>
      <c r="I2736" t="n">
        <v>0.1290209479199025</v>
      </c>
      <c r="J2736" t="n">
        <v>0.0005017153100435</v>
      </c>
      <c r="K2736" t="n">
        <v>0.881637921389444</v>
      </c>
      <c r="L2736" t="b">
        <v>0</v>
      </c>
      <c r="M2736" t="b">
        <v>0</v>
      </c>
      <c r="N2736" t="inlineStr">
        <is>
          <t>alt</t>
        </is>
      </c>
      <c r="O2736" t="n">
        <v>100</v>
      </c>
      <c r="P2736" t="n">
        <v>0.00407</v>
      </c>
      <c r="Q2736" t="n">
        <v>-100</v>
      </c>
      <c r="R2736" t="n">
        <v>0.06635000000000001</v>
      </c>
      <c r="S2736">
        <f>IMAGE("https://mitra.stanford.edu/kundaje/oak/projects/neuro-variants/variant_position/credible/roussos_2024/variant_figures/roussos_2024.childhood.GLU/rs6769144_count_position.png",4,220,900)</f>
        <v/>
      </c>
      <c r="T2736">
        <f>IMAGE("https://mitra.stanford.edu/kundaje/oak/projects/neuro-variants/variant_position/credible/roussos_2024/variant_figures/roussos_2024.childhood.GLU/rs6769144_profile_position.png",4,220,900)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0.01694628026</v>
      </c>
      <c r="G2737" t="n">
        <v>0.5123192365319229</v>
      </c>
      <c r="H2737" t="n">
        <v>0.014919134346776</v>
      </c>
      <c r="I2737" t="n">
        <v>0.25143091589884</v>
      </c>
      <c r="J2737" t="n">
        <v>0.0045834320623898</v>
      </c>
      <c r="K2737" t="n">
        <v>0.6791341166635381</v>
      </c>
      <c r="L2737" t="b">
        <v>0</v>
      </c>
      <c r="M2737" t="b">
        <v>0</v>
      </c>
      <c r="N2737" t="inlineStr">
        <is>
          <t>alt</t>
        </is>
      </c>
      <c r="O2737" t="n">
        <v>-55</v>
      </c>
      <c r="P2737" t="n">
        <v>0.008880000000000001</v>
      </c>
      <c r="Q2737" t="n">
        <v>15</v>
      </c>
      <c r="R2737" t="n">
        <v>0.03992</v>
      </c>
      <c r="S2737">
        <f>IMAGE("https://mitra.stanford.edu/kundaje/oak/projects/neuro-variants/variant_position/credible/roussos_2024/variant_figures/roussos_2024.childhood.GLU/rs62263119_count_position.png",4,220,900)</f>
        <v/>
      </c>
      <c r="T2737">
        <f>IMAGE("https://mitra.stanford.edu/kundaje/oak/projects/neuro-variants/variant_position/credible/roussos_2024/variant_figures/roussos_2024.childhood.GLU/rs62263119_profile_position.png",4,220,900)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0.00642887768</v>
      </c>
      <c r="G2738" t="n">
        <v>0.7494638093500925</v>
      </c>
      <c r="H2738" t="n">
        <v>0.0085545406047349</v>
      </c>
      <c r="I2738" t="n">
        <v>0.8086898714802939</v>
      </c>
      <c r="J2738" t="n">
        <v>0.003125676079409</v>
      </c>
      <c r="K2738" t="n">
        <v>0.7187572861964701</v>
      </c>
      <c r="L2738" t="b">
        <v>0</v>
      </c>
      <c r="M2738" t="b">
        <v>0</v>
      </c>
      <c r="N2738" t="inlineStr">
        <is>
          <t>alt</t>
        </is>
      </c>
      <c r="O2738" t="n">
        <v>-100</v>
      </c>
      <c r="P2738" t="n">
        <v>0.005604</v>
      </c>
      <c r="Q2738" t="n">
        <v>-60</v>
      </c>
      <c r="R2738" t="n">
        <v>0.0678</v>
      </c>
      <c r="S2738">
        <f>IMAGE("https://mitra.stanford.edu/kundaje/oak/projects/neuro-variants/variant_position/credible/roussos_2024/variant_figures/roussos_2024.childhood.GLU/rs62263120_count_position.png",4,220,900)</f>
        <v/>
      </c>
      <c r="T2738">
        <f>IMAGE("https://mitra.stanford.edu/kundaje/oak/projects/neuro-variants/variant_position/credible/roussos_2024/variant_figures/roussos_2024.childhood.GLU/rs62263120_profile_position.png",4,220,900)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-0.1315598879999999</v>
      </c>
      <c r="G2739" t="n">
        <v>0.0248789797900746</v>
      </c>
      <c r="H2739" t="n">
        <v>0.013727890494411</v>
      </c>
      <c r="I2739" t="n">
        <v>0.3252363917322993</v>
      </c>
      <c r="J2739" t="n">
        <v>0.0023468326001627</v>
      </c>
      <c r="K2739" t="n">
        <v>0.7615663217096711</v>
      </c>
      <c r="L2739" t="b">
        <v>0</v>
      </c>
      <c r="M2739" t="b">
        <v>0</v>
      </c>
      <c r="N2739" t="inlineStr">
        <is>
          <t>ref</t>
        </is>
      </c>
      <c r="O2739" t="n">
        <v>70</v>
      </c>
      <c r="P2739" t="n">
        <v>0.00287</v>
      </c>
      <c r="Q2739" t="n">
        <v>-80</v>
      </c>
      <c r="R2739" t="n">
        <v>0.02429</v>
      </c>
      <c r="S2739">
        <f>IMAGE("https://mitra.stanford.edu/kundaje/oak/projects/neuro-variants/variant_position/credible/roussos_2024/variant_figures/roussos_2024.childhood.GLU/rs62264763_count_position.png",4,220,900)</f>
        <v/>
      </c>
      <c r="T2739">
        <f>IMAGE("https://mitra.stanford.edu/kundaje/oak/projects/neuro-variants/variant_position/credible/roussos_2024/variant_figures/roussos_2024.childhood.GLU/rs62264763_profile_position.png",4,220,900)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-0.15071913</v>
      </c>
      <c r="G2740" t="n">
        <v>0.0206895477675603</v>
      </c>
      <c r="H2740" t="n">
        <v>0.0745528654887211</v>
      </c>
      <c r="I2740" t="n">
        <v>0.0006084158760231</v>
      </c>
      <c r="J2740" t="n">
        <v>0.2034440128983073</v>
      </c>
      <c r="K2740" t="n">
        <v>0.1480126439270744</v>
      </c>
      <c r="L2740" t="b">
        <v>1</v>
      </c>
      <c r="M2740" t="b">
        <v>1</v>
      </c>
      <c r="N2740" t="inlineStr">
        <is>
          <t>ref</t>
        </is>
      </c>
      <c r="O2740" t="n">
        <v>85</v>
      </c>
      <c r="P2740" t="n">
        <v>0.003113</v>
      </c>
      <c r="Q2740" t="n">
        <v>-90</v>
      </c>
      <c r="R2740" t="n">
        <v>0.2021</v>
      </c>
      <c r="S2740">
        <f>IMAGE("https://mitra.stanford.edu/kundaje/oak/projects/neuro-variants/variant_position/credible/roussos_2024/variant_figures/roussos_2024.childhood.GLU/rs62264764_count_position.png",4,220,900)</f>
        <v/>
      </c>
      <c r="T2740">
        <f>IMAGE("https://mitra.stanford.edu/kundaje/oak/projects/neuro-variants/variant_position/credible/roussos_2024/variant_figures/roussos_2024.childhood.GLU/rs62264764_profile_position.png",4,220,900)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-0.0350105066</v>
      </c>
      <c r="G2741" t="n">
        <v>0.3017503129157224</v>
      </c>
      <c r="H2741" t="n">
        <v>0.0104561402397556</v>
      </c>
      <c r="I2741" t="n">
        <v>0.6094481916682611</v>
      </c>
      <c r="J2741" t="n">
        <v>0.1365407399013052</v>
      </c>
      <c r="K2741" t="n">
        <v>0.2064864921869871</v>
      </c>
      <c r="L2741" t="b">
        <v>0</v>
      </c>
      <c r="M2741" t="b">
        <v>0</v>
      </c>
      <c r="N2741" t="inlineStr">
        <is>
          <t>ref</t>
        </is>
      </c>
      <c r="O2741" t="n">
        <v>-80</v>
      </c>
      <c r="P2741" t="n">
        <v>0.0283</v>
      </c>
      <c r="Q2741" t="n">
        <v>-95</v>
      </c>
      <c r="R2741" t="n">
        <v>0.07275</v>
      </c>
      <c r="S2741">
        <f>IMAGE("https://mitra.stanford.edu/kundaje/oak/projects/neuro-variants/variant_position/credible/roussos_2024/variant_figures/roussos_2024.childhood.GLU/rs7649429_count_position.png",4,220,900)</f>
        <v/>
      </c>
      <c r="T2741">
        <f>IMAGE("https://mitra.stanford.edu/kundaje/oak/projects/neuro-variants/variant_position/credible/roussos_2024/variant_figures/roussos_2024.childhood.GLU/rs7649429_profile_position.png",4,220,900)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0.209532282</v>
      </c>
      <c r="G2742" t="n">
        <v>0.0063590564716832</v>
      </c>
      <c r="H2742" t="n">
        <v>0.035677181099403</v>
      </c>
      <c r="I2742" t="n">
        <v>0.0104000270248599</v>
      </c>
      <c r="J2742" t="n">
        <v>0.0558459620674379</v>
      </c>
      <c r="K2742" t="n">
        <v>0.3421982039761817</v>
      </c>
      <c r="L2742" t="b">
        <v>1</v>
      </c>
      <c r="M2742" t="b">
        <v>1</v>
      </c>
      <c r="N2742" t="inlineStr">
        <is>
          <t>alt</t>
        </is>
      </c>
      <c r="O2742" t="n">
        <v>-25</v>
      </c>
      <c r="P2742" t="n">
        <v>0.00842</v>
      </c>
      <c r="Q2742" t="n">
        <v>-45</v>
      </c>
      <c r="R2742" t="n">
        <v>0.07056</v>
      </c>
      <c r="S2742">
        <f>IMAGE("https://mitra.stanford.edu/kundaje/oak/projects/neuro-variants/variant_position/credible/roussos_2024/variant_figures/roussos_2024.childhood.GLU/rs7631320_count_position.png",4,220,900)</f>
        <v/>
      </c>
      <c r="T2742">
        <f>IMAGE("https://mitra.stanford.edu/kundaje/oak/projects/neuro-variants/variant_position/credible/roussos_2024/variant_figures/roussos_2024.childhood.GLU/rs7631320_profile_position.png",4,220,900)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-0.091525342</v>
      </c>
      <c r="G2743" t="n">
        <v>0.0611904775730389</v>
      </c>
      <c r="H2743" t="n">
        <v>0.0150428002049514</v>
      </c>
      <c r="I2743" t="n">
        <v>0.2505299406240553</v>
      </c>
      <c r="J2743" t="n">
        <v>0.0049295847198326</v>
      </c>
      <c r="K2743" t="n">
        <v>0.6910112802079197</v>
      </c>
      <c r="L2743" t="b">
        <v>0</v>
      </c>
      <c r="M2743" t="b">
        <v>0</v>
      </c>
      <c r="N2743" t="inlineStr">
        <is>
          <t>ref</t>
        </is>
      </c>
      <c r="O2743" t="n">
        <v>65</v>
      </c>
      <c r="P2743" t="n">
        <v>0.00796</v>
      </c>
      <c r="Q2743" t="n">
        <v>-5</v>
      </c>
      <c r="R2743" t="n">
        <v>0.002441</v>
      </c>
      <c r="S2743">
        <f>IMAGE("https://mitra.stanford.edu/kundaje/oak/projects/neuro-variants/variant_position/credible/roussos_2024/variant_figures/roussos_2024.childhood.GLU/rs62264778_count_position.png",4,220,900)</f>
        <v/>
      </c>
      <c r="T2743">
        <f>IMAGE("https://mitra.stanford.edu/kundaje/oak/projects/neuro-variants/variant_position/credible/roussos_2024/variant_figures/roussos_2024.childhood.GLU/rs62264778_profile_position.png",4,220,900)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0.03367757102</v>
      </c>
      <c r="G2744" t="n">
        <v>0.3119365280126669</v>
      </c>
      <c r="H2744" t="n">
        <v>0.0131190491325139</v>
      </c>
      <c r="I2744" t="n">
        <v>0.3757613973531938</v>
      </c>
      <c r="J2744" t="n">
        <v>0.165693799128437</v>
      </c>
      <c r="K2744" t="n">
        <v>0.1743384614193359</v>
      </c>
      <c r="L2744" t="b">
        <v>0</v>
      </c>
      <c r="M2744" t="b">
        <v>0</v>
      </c>
      <c r="N2744" t="inlineStr">
        <is>
          <t>alt</t>
        </is>
      </c>
      <c r="O2744" t="n">
        <v>-35</v>
      </c>
      <c r="P2744" t="n">
        <v>0.002014</v>
      </c>
      <c r="Q2744" t="n">
        <v>60</v>
      </c>
      <c r="R2744" t="n">
        <v>0.03418</v>
      </c>
      <c r="S2744">
        <f>IMAGE("https://mitra.stanford.edu/kundaje/oak/projects/neuro-variants/variant_position/credible/roussos_2024/variant_figures/roussos_2024.childhood.GLU/rs62264780_count_position.png",4,220,900)</f>
        <v/>
      </c>
      <c r="T2744">
        <f>IMAGE("https://mitra.stanford.edu/kundaje/oak/projects/neuro-variants/variant_position/credible/roussos_2024/variant_figures/roussos_2024.childhood.GLU/rs62264780_profile_position.png",4,220,900)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-0.0007591234999999</v>
      </c>
      <c r="G2745" t="n">
        <v>0.6272204894298767</v>
      </c>
      <c r="H2745" t="n">
        <v>0.0085104657395965</v>
      </c>
      <c r="I2745" t="n">
        <v>0.829923430551714</v>
      </c>
      <c r="J2745" t="n">
        <v>0.0013434019800755</v>
      </c>
      <c r="K2745" t="n">
        <v>0.799917674408494</v>
      </c>
      <c r="L2745" t="b">
        <v>0</v>
      </c>
      <c r="M2745" t="b">
        <v>0</v>
      </c>
      <c r="N2745" t="inlineStr">
        <is>
          <t>ref</t>
        </is>
      </c>
      <c r="O2745" t="n">
        <v>-40</v>
      </c>
      <c r="P2745" t="n">
        <v>0.0019455</v>
      </c>
      <c r="Q2745" t="n">
        <v>-60</v>
      </c>
      <c r="R2745" t="n">
        <v>0.06525</v>
      </c>
      <c r="S2745">
        <f>IMAGE("https://mitra.stanford.edu/kundaje/oak/projects/neuro-variants/variant_position/credible/roussos_2024/variant_figures/roussos_2024.childhood.GLU/rs73168397_count_position.png",4,220,900)</f>
        <v/>
      </c>
      <c r="T2745">
        <f>IMAGE("https://mitra.stanford.edu/kundaje/oak/projects/neuro-variants/variant_position/credible/roussos_2024/variant_figures/roussos_2024.childhood.GLU/rs73168397_profile_position.png",4,220,900)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0.0208515138</v>
      </c>
      <c r="G2746" t="n">
        <v>0.4480707703939887</v>
      </c>
      <c r="H2746" t="n">
        <v>0.008517693542160001</v>
      </c>
      <c r="I2746" t="n">
        <v>0.7746104743047153</v>
      </c>
      <c r="J2746" t="n">
        <v>0.0152554421173003</v>
      </c>
      <c r="K2746" t="n">
        <v>0.5386506842775189</v>
      </c>
      <c r="L2746" t="b">
        <v>0</v>
      </c>
      <c r="M2746" t="b">
        <v>0</v>
      </c>
      <c r="N2746" t="inlineStr">
        <is>
          <t>alt</t>
        </is>
      </c>
      <c r="O2746" t="n">
        <v>-95</v>
      </c>
      <c r="P2746" t="n">
        <v>0.00224</v>
      </c>
      <c r="Q2746" t="n">
        <v>-35</v>
      </c>
      <c r="R2746" t="n">
        <v>0.0216</v>
      </c>
      <c r="S2746">
        <f>IMAGE("https://mitra.stanford.edu/kundaje/oak/projects/neuro-variants/variant_position/credible/roussos_2024/variant_figures/roussos_2024.childhood.GLU/rs62264819_count_position.png",4,220,900)</f>
        <v/>
      </c>
      <c r="T2746">
        <f>IMAGE("https://mitra.stanford.edu/kundaje/oak/projects/neuro-variants/variant_position/credible/roussos_2024/variant_figures/roussos_2024.childhood.GLU/rs62264819_profile_position.png",4,220,900)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0.129529554</v>
      </c>
      <c r="G2747" t="n">
        <v>0.0250651135227827</v>
      </c>
      <c r="H2747" t="n">
        <v>0.0297398786152796</v>
      </c>
      <c r="I2747" t="n">
        <v>0.0221469281679184</v>
      </c>
      <c r="J2747" t="n">
        <v>0.1786837957287234</v>
      </c>
      <c r="K2747" t="n">
        <v>0.1649464273796236</v>
      </c>
      <c r="L2747" t="b">
        <v>0</v>
      </c>
      <c r="M2747" t="b">
        <v>0</v>
      </c>
      <c r="N2747" t="inlineStr">
        <is>
          <t>alt</t>
        </is>
      </c>
      <c r="O2747" t="n">
        <v>-75</v>
      </c>
      <c r="P2747" t="n">
        <v>0.0383</v>
      </c>
      <c r="Q2747" t="n">
        <v>100</v>
      </c>
      <c r="R2747" t="n">
        <v>0.3596</v>
      </c>
      <c r="S2747">
        <f>IMAGE("https://mitra.stanford.edu/kundaje/oak/projects/neuro-variants/variant_position/credible/roussos_2024/variant_figures/roussos_2024.childhood.GLU/rs1499972_count_position.png",4,220,900)</f>
        <v/>
      </c>
      <c r="T2747">
        <f>IMAGE("https://mitra.stanford.edu/kundaje/oak/projects/neuro-variants/variant_position/credible/roussos_2024/variant_figures/roussos_2024.childhood.GLU/rs1499972_profile_position.png",4,220,900)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-0.2289599759999999</v>
      </c>
      <c r="G2748" t="n">
        <v>0.0050813356212444</v>
      </c>
      <c r="H2748" t="n">
        <v>0.0290054442606687</v>
      </c>
      <c r="I2748" t="n">
        <v>0.0251699410590761</v>
      </c>
      <c r="J2748" t="n">
        <v>0.2341660914625979</v>
      </c>
      <c r="K2748" t="n">
        <v>0.1276143676375133</v>
      </c>
      <c r="L2748" t="b">
        <v>1</v>
      </c>
      <c r="M2748" t="b">
        <v>1</v>
      </c>
      <c r="N2748" t="inlineStr">
        <is>
          <t>ref</t>
        </is>
      </c>
      <c r="O2748" t="n">
        <v>95</v>
      </c>
      <c r="P2748" t="n">
        <v>0.0418</v>
      </c>
      <c r="Q2748" t="n">
        <v>100</v>
      </c>
      <c r="R2748" t="n">
        <v>0.4531</v>
      </c>
      <c r="S2748">
        <f>IMAGE("https://mitra.stanford.edu/kundaje/oak/projects/neuro-variants/variant_position/credible/roussos_2024/variant_figures/roussos_2024.childhood.GLU/rs2925312_count_position.png",4,220,900)</f>
        <v/>
      </c>
      <c r="T2748">
        <f>IMAGE("https://mitra.stanford.edu/kundaje/oak/projects/neuro-variants/variant_position/credible/roussos_2024/variant_figures/roussos_2024.childhood.GLU/rs2925312_profile_position.png",4,220,900)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0.0179310808</v>
      </c>
      <c r="G2749" t="n">
        <v>0.4720614663230353</v>
      </c>
      <c r="H2749" t="n">
        <v>0.0090280980348017</v>
      </c>
      <c r="I2749" t="n">
        <v>0.7711510607765725</v>
      </c>
      <c r="J2749" t="n">
        <v>0.09023561045463439</v>
      </c>
      <c r="K2749" t="n">
        <v>0.2590184857226574</v>
      </c>
      <c r="L2749" t="b">
        <v>0</v>
      </c>
      <c r="M2749" t="b">
        <v>0</v>
      </c>
      <c r="N2749" t="inlineStr">
        <is>
          <t>alt</t>
        </is>
      </c>
      <c r="O2749" t="n">
        <v>-10</v>
      </c>
      <c r="P2749" t="n">
        <v>0.00386</v>
      </c>
      <c r="Q2749" t="n">
        <v>100</v>
      </c>
      <c r="R2749" t="n">
        <v>0.1685</v>
      </c>
      <c r="S2749">
        <f>IMAGE("https://mitra.stanford.edu/kundaje/oak/projects/neuro-variants/variant_position/credible/roussos_2024/variant_figures/roussos_2024.childhood.GLU/rs843852_count_position.png",4,220,900)</f>
        <v/>
      </c>
      <c r="T2749">
        <f>IMAGE("https://mitra.stanford.edu/kundaje/oak/projects/neuro-variants/variant_position/credible/roussos_2024/variant_figures/roussos_2024.childhood.GLU/rs843852_profile_position.png",4,220,900)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-0.091864049</v>
      </c>
      <c r="G2750" t="n">
        <v>0.053942555420819</v>
      </c>
      <c r="H2750" t="n">
        <v>0.0127049475431461</v>
      </c>
      <c r="I2750" t="n">
        <v>0.3897398052212942</v>
      </c>
      <c r="J2750" t="n">
        <v>0.0030041105628071</v>
      </c>
      <c r="K2750" t="n">
        <v>0.7345782204583921</v>
      </c>
      <c r="L2750" t="b">
        <v>0</v>
      </c>
      <c r="M2750" t="b">
        <v>0</v>
      </c>
      <c r="N2750" t="inlineStr">
        <is>
          <t>ref</t>
        </is>
      </c>
      <c r="O2750" t="n">
        <v>80</v>
      </c>
      <c r="P2750" t="n">
        <v>0.011696</v>
      </c>
      <c r="Q2750" t="n">
        <v>100</v>
      </c>
      <c r="R2750" t="n">
        <v>0.2966</v>
      </c>
      <c r="S2750">
        <f>IMAGE("https://mitra.stanford.edu/kundaje/oak/projects/neuro-variants/variant_position/credible/roussos_2024/variant_figures/roussos_2024.childhood.GLU/rs1093464_count_position.png",4,220,900)</f>
        <v/>
      </c>
      <c r="T2750">
        <f>IMAGE("https://mitra.stanford.edu/kundaje/oak/projects/neuro-variants/variant_position/credible/roussos_2024/variant_figures/roussos_2024.childhood.GLU/rs1093464_profile_position.png",4,220,900)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-0.08042434480000001</v>
      </c>
      <c r="G2751" t="n">
        <v>0.0722857653608464</v>
      </c>
      <c r="H2751" t="n">
        <v>0.0191825034694255</v>
      </c>
      <c r="I2751" t="n">
        <v>0.113223548177726</v>
      </c>
      <c r="J2751" t="n">
        <v>0.0006603686113715</v>
      </c>
      <c r="K2751" t="n">
        <v>0.8519018019466057</v>
      </c>
      <c r="L2751" t="b">
        <v>0</v>
      </c>
      <c r="M2751" t="b">
        <v>0</v>
      </c>
      <c r="N2751" t="inlineStr">
        <is>
          <t>ref</t>
        </is>
      </c>
      <c r="O2751" t="n">
        <v>90</v>
      </c>
      <c r="P2751" t="n">
        <v>0.01367</v>
      </c>
      <c r="Q2751" t="n">
        <v>-55</v>
      </c>
      <c r="R2751" t="n">
        <v>0.11694</v>
      </c>
      <c r="S2751">
        <f>IMAGE("https://mitra.stanford.edu/kundaje/oak/projects/neuro-variants/variant_position/credible/roussos_2024/variant_figures/roussos_2024.childhood.GLU/rs846184_count_position.png",4,220,900)</f>
        <v/>
      </c>
      <c r="T2751">
        <f>IMAGE("https://mitra.stanford.edu/kundaje/oak/projects/neuro-variants/variant_position/credible/roussos_2024/variant_figures/roussos_2024.childhood.GLU/rs846184_profile_position.png",4,220,900)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0.07422642859999989</v>
      </c>
      <c r="G2752" t="n">
        <v>0.08630553011264661</v>
      </c>
      <c r="H2752" t="n">
        <v>0.0115614125424573</v>
      </c>
      <c r="I2752" t="n">
        <v>0.4940507381518393</v>
      </c>
      <c r="J2752" t="n">
        <v>0.0042146146476144</v>
      </c>
      <c r="K2752" t="n">
        <v>0.7025217023189841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0.009900000000000001</v>
      </c>
      <c r="Q2752" t="n">
        <v>100</v>
      </c>
      <c r="R2752" t="n">
        <v>0.02348</v>
      </c>
      <c r="S2752">
        <f>IMAGE("https://mitra.stanford.edu/kundaje/oak/projects/neuro-variants/variant_position/credible/roussos_2024/variant_figures/roussos_2024.childhood.GLU/rs1499976_count_position.png",4,220,900)</f>
        <v/>
      </c>
      <c r="T2752">
        <f>IMAGE("https://mitra.stanford.edu/kundaje/oak/projects/neuro-variants/variant_position/credible/roussos_2024/variant_figures/roussos_2024.childhood.GLU/rs1499976_profile_position.png",4,220,900)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0.182074162</v>
      </c>
      <c r="G2753" t="n">
        <v>0.0095175405829921</v>
      </c>
      <c r="H2753" t="n">
        <v>0.0245423543852119</v>
      </c>
      <c r="I2753" t="n">
        <v>0.0472133634550716</v>
      </c>
      <c r="J2753" t="n">
        <v>0.3867977788537814</v>
      </c>
      <c r="K2753" t="n">
        <v>0.0683811000953973</v>
      </c>
      <c r="L2753" t="b">
        <v>1</v>
      </c>
      <c r="M2753" t="b">
        <v>1</v>
      </c>
      <c r="N2753" t="inlineStr">
        <is>
          <t>alt</t>
        </is>
      </c>
      <c r="O2753" t="n">
        <v>80</v>
      </c>
      <c r="P2753" t="n">
        <v>0.003445</v>
      </c>
      <c r="Q2753" t="n">
        <v>25</v>
      </c>
      <c r="R2753" t="n">
        <v>0.01746</v>
      </c>
      <c r="S2753">
        <f>IMAGE("https://mitra.stanford.edu/kundaje/oak/projects/neuro-variants/variant_position/credible/roussos_2024/variant_figures/roussos_2024.childhood.GLU/rs7612065_count_position.png",4,220,900)</f>
        <v/>
      </c>
      <c r="T2753">
        <f>IMAGE("https://mitra.stanford.edu/kundaje/oak/projects/neuro-variants/variant_position/credible/roussos_2024/variant_figures/roussos_2024.childhood.GLU/rs7612065_profile_position.png",4,220,900)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0.01016536282</v>
      </c>
      <c r="G2754" t="n">
        <v>0.6442442885755382</v>
      </c>
      <c r="H2754" t="n">
        <v>0.0382656756890409</v>
      </c>
      <c r="I2754" t="n">
        <v>0.0081634485567414</v>
      </c>
      <c r="J2754" t="n">
        <v>0.0119422666817764</v>
      </c>
      <c r="K2754" t="n">
        <v>0.5616266808025737</v>
      </c>
      <c r="L2754" t="b">
        <v>1</v>
      </c>
      <c r="M2754" t="b">
        <v>0</v>
      </c>
      <c r="N2754" t="inlineStr">
        <is>
          <t>alt</t>
        </is>
      </c>
      <c r="O2754" t="n">
        <v>-40</v>
      </c>
      <c r="P2754" t="n">
        <v>0.01532</v>
      </c>
      <c r="Q2754" t="n">
        <v>-50</v>
      </c>
      <c r="R2754" t="n">
        <v>0.02344</v>
      </c>
      <c r="S2754">
        <f>IMAGE("https://mitra.stanford.edu/kundaje/oak/projects/neuro-variants/variant_position/credible/roussos_2024/variant_figures/roussos_2024.childhood.GLU/rs6439112_count_position.png",4,220,900)</f>
        <v/>
      </c>
      <c r="T2754">
        <f>IMAGE("https://mitra.stanford.edu/kundaje/oak/projects/neuro-variants/variant_position/credible/roussos_2024/variant_figures/roussos_2024.childhood.GLU/rs6439112_profile_position.png",4,220,900)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-0.0307786118</v>
      </c>
      <c r="G2755" t="n">
        <v>0.2779970694535207</v>
      </c>
      <c r="H2755" t="n">
        <v>0.0094208034742976</v>
      </c>
      <c r="I2755" t="n">
        <v>0.7187809605212587</v>
      </c>
      <c r="J2755" t="n">
        <v>0.0660780697868482</v>
      </c>
      <c r="K2755" t="n">
        <v>0.3092364186418196</v>
      </c>
      <c r="L2755" t="b">
        <v>0</v>
      </c>
      <c r="M2755" t="b">
        <v>0</v>
      </c>
      <c r="N2755" t="inlineStr">
        <is>
          <t>ref</t>
        </is>
      </c>
      <c r="O2755" t="n">
        <v>-85</v>
      </c>
      <c r="P2755" t="n">
        <v>0.006897</v>
      </c>
      <c r="Q2755" t="n">
        <v>25</v>
      </c>
      <c r="R2755" t="n">
        <v>0.0271</v>
      </c>
      <c r="S2755">
        <f>IMAGE("https://mitra.stanford.edu/kundaje/oak/projects/neuro-variants/variant_position/credible/roussos_2024/variant_figures/roussos_2024.childhood.GLU/rs4857866_count_position.png",4,220,900)</f>
        <v/>
      </c>
      <c r="T2755">
        <f>IMAGE("https://mitra.stanford.edu/kundaje/oak/projects/neuro-variants/variant_position/credible/roussos_2024/variant_figures/roussos_2024.childhood.GLU/rs4857866_profile_position.png",4,220,900)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0.190807428</v>
      </c>
      <c r="G2756" t="n">
        <v>0.008631486550870499</v>
      </c>
      <c r="H2756" t="n">
        <v>0.0202167346036564</v>
      </c>
      <c r="I2756" t="n">
        <v>0.0947963215256386</v>
      </c>
      <c r="J2756" t="n">
        <v>0.2978901171355867</v>
      </c>
      <c r="K2756" t="n">
        <v>0.09861280494924431</v>
      </c>
      <c r="L2756" t="b">
        <v>1</v>
      </c>
      <c r="M2756" t="b">
        <v>1</v>
      </c>
      <c r="N2756" t="inlineStr">
        <is>
          <t>alt</t>
        </is>
      </c>
      <c r="O2756" t="n">
        <v>45</v>
      </c>
      <c r="P2756" t="n">
        <v>0.004913</v>
      </c>
      <c r="Q2756" t="n">
        <v>45</v>
      </c>
      <c r="R2756" t="n">
        <v>0.1453</v>
      </c>
      <c r="S2756">
        <f>IMAGE("https://mitra.stanford.edu/kundaje/oak/projects/neuro-variants/variant_position/credible/roussos_2024/variant_figures/roussos_2024.childhood.GLU/rs2999052_count_position.png",4,220,900)</f>
        <v/>
      </c>
      <c r="T2756">
        <f>IMAGE("https://mitra.stanford.edu/kundaje/oak/projects/neuro-variants/variant_position/credible/roussos_2024/variant_figures/roussos_2024.childhood.GLU/rs2999052_profile_position.png",4,220,900)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0.0395250334</v>
      </c>
      <c r="G2757" t="n">
        <v>0.2497517849270629</v>
      </c>
      <c r="H2757" t="n">
        <v>0.009322782257845301</v>
      </c>
      <c r="I2757" t="n">
        <v>0.7306864929110772</v>
      </c>
      <c r="J2757" t="n">
        <v>0.1544716536000906</v>
      </c>
      <c r="K2757" t="n">
        <v>0.1874853427175894</v>
      </c>
      <c r="L2757" t="b">
        <v>0</v>
      </c>
      <c r="M2757" t="b">
        <v>0</v>
      </c>
      <c r="N2757" t="inlineStr">
        <is>
          <t>alt</t>
        </is>
      </c>
      <c r="O2757" t="n">
        <v>-100</v>
      </c>
      <c r="P2757" t="n">
        <v>0.0325</v>
      </c>
      <c r="Q2757" t="n">
        <v>5</v>
      </c>
      <c r="R2757" t="n">
        <v>0.01221</v>
      </c>
      <c r="S2757">
        <f>IMAGE("https://mitra.stanford.edu/kundaje/oak/projects/neuro-variants/variant_position/credible/roussos_2024/variant_figures/roussos_2024.childhood.GLU/rs2687729_count_position.png",4,220,900)</f>
        <v/>
      </c>
      <c r="T2757">
        <f>IMAGE("https://mitra.stanford.edu/kundaje/oak/projects/neuro-variants/variant_position/credible/roussos_2024/variant_figures/roussos_2024.childhood.GLU/rs2687729_profile_position.png",4,220,900)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0.0074906852039999</v>
      </c>
      <c r="G2758" t="n">
        <v>0.6881702495432521</v>
      </c>
      <c r="H2758" t="n">
        <v>0.0199580103656767</v>
      </c>
      <c r="I2758" t="n">
        <v>0.0989467087180923</v>
      </c>
      <c r="J2758" t="n">
        <v>0.0148402649716174</v>
      </c>
      <c r="K2758" t="n">
        <v>0.5349773647980954</v>
      </c>
      <c r="L2758" t="b">
        <v>0</v>
      </c>
      <c r="M2758" t="b">
        <v>0</v>
      </c>
      <c r="N2758" t="inlineStr">
        <is>
          <t>alt</t>
        </is>
      </c>
      <c r="O2758" t="n">
        <v>80</v>
      </c>
      <c r="P2758" t="n">
        <v>0.01015</v>
      </c>
      <c r="Q2758" t="n">
        <v>100</v>
      </c>
      <c r="R2758" t="n">
        <v>0.04504</v>
      </c>
      <c r="S2758">
        <f>IMAGE("https://mitra.stanford.edu/kundaje/oak/projects/neuro-variants/variant_position/credible/roussos_2024/variant_figures/roussos_2024.childhood.GLU/rs2999059_count_position.png",4,220,900)</f>
        <v/>
      </c>
      <c r="T2758">
        <f>IMAGE("https://mitra.stanford.edu/kundaje/oak/projects/neuro-variants/variant_position/credible/roussos_2024/variant_figures/roussos_2024.childhood.GLU/rs2999059_profile_position.png",4,220,900)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-0.01434199408</v>
      </c>
      <c r="G2759" t="n">
        <v>0.5701762634344175</v>
      </c>
      <c r="H2759" t="n">
        <v>0.008548580749089599</v>
      </c>
      <c r="I2759" t="n">
        <v>0.816390790959427</v>
      </c>
      <c r="J2759" t="n">
        <v>0.319687432392059</v>
      </c>
      <c r="K2759" t="n">
        <v>0.0891585362317852</v>
      </c>
      <c r="L2759" t="b">
        <v>0</v>
      </c>
      <c r="M2759" t="b">
        <v>0</v>
      </c>
      <c r="N2759" t="inlineStr">
        <is>
          <t>ref</t>
        </is>
      </c>
      <c r="O2759" t="n">
        <v>-95</v>
      </c>
      <c r="P2759" t="n">
        <v>0.01723</v>
      </c>
      <c r="Q2759" t="n">
        <v>95</v>
      </c>
      <c r="R2759" t="n">
        <v>0.05835</v>
      </c>
      <c r="S2759">
        <f>IMAGE("https://mitra.stanford.edu/kundaje/oak/projects/neuro-variants/variant_position/credible/roussos_2024/variant_figures/roussos_2024.childhood.GLU/rs940062_count_position.png",4,220,900)</f>
        <v/>
      </c>
      <c r="T2759">
        <f>IMAGE("https://mitra.stanford.edu/kundaje/oak/projects/neuro-variants/variant_position/credible/roussos_2024/variant_figures/roussos_2024.childhood.GLU/rs940062_profile_position.png",4,220,900)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0.00822263336</v>
      </c>
      <c r="G2760" t="n">
        <v>0.5744202438966689</v>
      </c>
      <c r="H2760" t="n">
        <v>0.0102457622933154</v>
      </c>
      <c r="I2760" t="n">
        <v>0.6381904067711242</v>
      </c>
      <c r="J2760" t="n">
        <v>0.0168759722665787</v>
      </c>
      <c r="K2760" t="n">
        <v>0.5194085374208317</v>
      </c>
      <c r="L2760" t="b">
        <v>0</v>
      </c>
      <c r="M2760" t="b">
        <v>0</v>
      </c>
      <c r="N2760" t="inlineStr">
        <is>
          <t>alt</t>
        </is>
      </c>
      <c r="O2760" t="n">
        <v>30</v>
      </c>
      <c r="P2760" t="n">
        <v>0.00578</v>
      </c>
      <c r="Q2760" t="n">
        <v>-100</v>
      </c>
      <c r="R2760" t="n">
        <v>0.1769</v>
      </c>
      <c r="S2760">
        <f>IMAGE("https://mitra.stanford.edu/kundaje/oak/projects/neuro-variants/variant_position/credible/roussos_2024/variant_figures/roussos_2024.childhood.GLU/rs2999058_count_position.png",4,220,900)</f>
        <v/>
      </c>
      <c r="T2760">
        <f>IMAGE("https://mitra.stanford.edu/kundaje/oak/projects/neuro-variants/variant_position/credible/roussos_2024/variant_figures/roussos_2024.childhood.GLU/rs2999058_profile_position.png",4,220,900)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0.1130383062</v>
      </c>
      <c r="G2761" t="n">
        <v>0.0327923559659399</v>
      </c>
      <c r="H2761" t="n">
        <v>0.0120693753774498</v>
      </c>
      <c r="I2761" t="n">
        <v>0.4414172683881924</v>
      </c>
      <c r="J2761" t="n">
        <v>0.1763843530757105</v>
      </c>
      <c r="K2761" t="n">
        <v>0.1645031851080064</v>
      </c>
      <c r="L2761" t="b">
        <v>0</v>
      </c>
      <c r="M2761" t="b">
        <v>0</v>
      </c>
      <c r="N2761" t="inlineStr">
        <is>
          <t>alt</t>
        </is>
      </c>
      <c r="O2761" t="n">
        <v>-80</v>
      </c>
      <c r="P2761" t="n">
        <v>0.00958</v>
      </c>
      <c r="Q2761" t="n">
        <v>40</v>
      </c>
      <c r="R2761" t="n">
        <v>0.03748</v>
      </c>
      <c r="S2761">
        <f>IMAGE("https://mitra.stanford.edu/kundaje/oak/projects/neuro-variants/variant_position/credible/roussos_2024/variant_figures/roussos_2024.childhood.GLU/rs2955125_count_position.png",4,220,900)</f>
        <v/>
      </c>
      <c r="T2761">
        <f>IMAGE("https://mitra.stanford.edu/kundaje/oak/projects/neuro-variants/variant_position/credible/roussos_2024/variant_figures/roussos_2024.childhood.GLU/rs2955125_profile_position.png",4,220,900)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0.0442636362</v>
      </c>
      <c r="G2762" t="n">
        <v>0.2157068720399945</v>
      </c>
      <c r="H2762" t="n">
        <v>0.0137270312664653</v>
      </c>
      <c r="I2762" t="n">
        <v>0.3113680442150406</v>
      </c>
      <c r="J2762" t="n">
        <v>0.2546436997125696</v>
      </c>
      <c r="K2762" t="n">
        <v>0.1175366166896234</v>
      </c>
      <c r="L2762" t="b">
        <v>0</v>
      </c>
      <c r="M2762" t="b">
        <v>0</v>
      </c>
      <c r="N2762" t="inlineStr">
        <is>
          <t>alt</t>
        </is>
      </c>
      <c r="O2762" t="n">
        <v>-60</v>
      </c>
      <c r="P2762" t="n">
        <v>0.000412</v>
      </c>
      <c r="Q2762" t="n">
        <v>-70</v>
      </c>
      <c r="R2762" t="n">
        <v>0.01538</v>
      </c>
      <c r="S2762">
        <f>IMAGE("https://mitra.stanford.edu/kundaje/oak/projects/neuro-variants/variant_position/credible/roussos_2024/variant_figures/roussos_2024.childhood.GLU/rs2955127_count_position.png",4,220,900)</f>
        <v/>
      </c>
      <c r="T2762">
        <f>IMAGE("https://mitra.stanford.edu/kundaje/oak/projects/neuro-variants/variant_position/credible/roussos_2024/variant_figures/roussos_2024.childhood.GLU/rs2955127_profile_position.png",4,220,900)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0.0752768404</v>
      </c>
      <c r="G2763" t="n">
        <v>0.0880788273920883</v>
      </c>
      <c r="H2763" t="n">
        <v>0.0162606335029886</v>
      </c>
      <c r="I2763" t="n">
        <v>0.2056338974790304</v>
      </c>
      <c r="J2763" t="n">
        <v>0.1369620983444424</v>
      </c>
      <c r="K2763" t="n">
        <v>0.2093518505804397</v>
      </c>
      <c r="L2763" t="b">
        <v>0</v>
      </c>
      <c r="M2763" t="b">
        <v>0</v>
      </c>
      <c r="N2763" t="inlineStr">
        <is>
          <t>alt</t>
        </is>
      </c>
      <c r="O2763" t="n">
        <v>85</v>
      </c>
      <c r="P2763" t="n">
        <v>0.05878</v>
      </c>
      <c r="Q2763" t="n">
        <v>15</v>
      </c>
      <c r="R2763" t="n">
        <v>0.01123</v>
      </c>
      <c r="S2763">
        <f>IMAGE("https://mitra.stanford.edu/kundaje/oak/projects/neuro-variants/variant_position/credible/roussos_2024/variant_figures/roussos_2024.childhood.GLU/rs2955128_count_position.png",4,220,900)</f>
        <v/>
      </c>
      <c r="T2763">
        <f>IMAGE("https://mitra.stanford.edu/kundaje/oak/projects/neuro-variants/variant_position/credible/roussos_2024/variant_figures/roussos_2024.childhood.GLU/rs2955128_profile_position.png",4,220,900)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-0.021352213</v>
      </c>
      <c r="G2764" t="n">
        <v>0.4424885979276926</v>
      </c>
      <c r="H2764" t="n">
        <v>0.0128757973247434</v>
      </c>
      <c r="I2764" t="n">
        <v>0.3767228536794181</v>
      </c>
      <c r="J2764" t="n">
        <v>0.1976830436708664</v>
      </c>
      <c r="K2764" t="n">
        <v>0.149265233543909</v>
      </c>
      <c r="L2764" t="b">
        <v>0</v>
      </c>
      <c r="M2764" t="b">
        <v>0</v>
      </c>
      <c r="N2764" t="inlineStr">
        <is>
          <t>ref</t>
        </is>
      </c>
      <c r="O2764" t="n">
        <v>100</v>
      </c>
      <c r="P2764" t="n">
        <v>0.08746</v>
      </c>
      <c r="Q2764" t="n">
        <v>100</v>
      </c>
      <c r="R2764" t="n">
        <v>0.1051</v>
      </c>
      <c r="S2764">
        <f>IMAGE("https://mitra.stanford.edu/kundaje/oak/projects/neuro-variants/variant_position/credible/roussos_2024/variant_figures/roussos_2024.childhood.GLU/rs4384971_count_position.png",4,220,900)</f>
        <v/>
      </c>
      <c r="T2764">
        <f>IMAGE("https://mitra.stanford.edu/kundaje/oak/projects/neuro-variants/variant_position/credible/roussos_2024/variant_figures/roussos_2024.childhood.GLU/rs4384971_profile_position.png",4,220,900)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0.001363769816</v>
      </c>
      <c r="G2765" t="n">
        <v>0.7418566954873037</v>
      </c>
      <c r="H2765" t="n">
        <v>0.0076045665715828</v>
      </c>
      <c r="I2765" t="n">
        <v>0.8966945102905931</v>
      </c>
      <c r="J2765" t="n">
        <v>0.143092915202901</v>
      </c>
      <c r="K2765" t="n">
        <v>0.1960960468305281</v>
      </c>
      <c r="L2765" t="b">
        <v>0</v>
      </c>
      <c r="M2765" t="b">
        <v>0</v>
      </c>
      <c r="N2765" t="inlineStr">
        <is>
          <t>alt</t>
        </is>
      </c>
      <c r="O2765" t="n">
        <v>-50</v>
      </c>
      <c r="P2765" t="n">
        <v>0.001156</v>
      </c>
      <c r="Q2765" t="n">
        <v>40</v>
      </c>
      <c r="R2765" t="n">
        <v>0.03278</v>
      </c>
      <c r="S2765">
        <f>IMAGE("https://mitra.stanford.edu/kundaje/oak/projects/neuro-variants/variant_position/credible/roussos_2024/variant_figures/roussos_2024.childhood.GLU/rs6775988_count_position.png",4,220,900)</f>
        <v/>
      </c>
      <c r="T2765">
        <f>IMAGE("https://mitra.stanford.edu/kundaje/oak/projects/neuro-variants/variant_position/credible/roussos_2024/variant_figures/roussos_2024.childhood.GLU/rs6775988_profile_position.png",4,220,900)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0.0682392967999999</v>
      </c>
      <c r="G2766" t="n">
        <v>0.1147241626644516</v>
      </c>
      <c r="H2766" t="n">
        <v>0.0128840874109039</v>
      </c>
      <c r="I2766" t="n">
        <v>0.36129805257115</v>
      </c>
      <c r="J2766" t="n">
        <v>0.143926360142994</v>
      </c>
      <c r="K2766" t="n">
        <v>0.1926175053537637</v>
      </c>
      <c r="L2766" t="b">
        <v>0</v>
      </c>
      <c r="M2766" t="b">
        <v>0</v>
      </c>
      <c r="N2766" t="inlineStr">
        <is>
          <t>alt</t>
        </is>
      </c>
      <c r="O2766" t="n">
        <v>-45</v>
      </c>
      <c r="P2766" t="n">
        <v>0.009939999999999999</v>
      </c>
      <c r="Q2766" t="n">
        <v>-70</v>
      </c>
      <c r="R2766" t="n">
        <v>0.05176</v>
      </c>
      <c r="S2766">
        <f>IMAGE("https://mitra.stanford.edu/kundaje/oak/projects/neuro-variants/variant_position/credible/roussos_2024/variant_figures/roussos_2024.childhood.GLU/rs4857877_count_position.png",4,220,900)</f>
        <v/>
      </c>
      <c r="T2766">
        <f>IMAGE("https://mitra.stanford.edu/kundaje/oak/projects/neuro-variants/variant_position/credible/roussos_2024/variant_figures/roussos_2024.childhood.GLU/rs4857877_profile_position.png",4,220,900)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0.002482542893</v>
      </c>
      <c r="G2767" t="n">
        <v>0.8656826455133586</v>
      </c>
      <c r="H2767" t="n">
        <v>0.0223032341681124</v>
      </c>
      <c r="I2767" t="n">
        <v>0.0686128017127443</v>
      </c>
      <c r="J2767" t="n">
        <v>0.07382529592961549</v>
      </c>
      <c r="K2767" t="n">
        <v>0.2955358326414847</v>
      </c>
      <c r="L2767" t="b">
        <v>0</v>
      </c>
      <c r="M2767" t="b">
        <v>0</v>
      </c>
      <c r="N2767" t="inlineStr">
        <is>
          <t>alt</t>
        </is>
      </c>
      <c r="O2767" t="n">
        <v>-100</v>
      </c>
      <c r="P2767" t="n">
        <v>0.01471</v>
      </c>
      <c r="Q2767" t="n">
        <v>-85</v>
      </c>
      <c r="R2767" t="n">
        <v>0.1088</v>
      </c>
      <c r="S2767">
        <f>IMAGE("https://mitra.stanford.edu/kundaje/oak/projects/neuro-variants/variant_position/credible/roussos_2024/variant_figures/roussos_2024.childhood.GLU/rs3849531_count_position.png",4,220,900)</f>
        <v/>
      </c>
      <c r="T2767">
        <f>IMAGE("https://mitra.stanford.edu/kundaje/oak/projects/neuro-variants/variant_position/credible/roussos_2024/variant_figures/roussos_2024.childhood.GLU/rs3849531_profile_position.png",4,220,900)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0.0715750686</v>
      </c>
      <c r="G2768" t="n">
        <v>0.0898166098283326</v>
      </c>
      <c r="H2768" t="n">
        <v>0.0320351223458186</v>
      </c>
      <c r="I2768" t="n">
        <v>0.016007095412747</v>
      </c>
      <c r="J2768" t="n">
        <v>0.1598535032503321</v>
      </c>
      <c r="K2768" t="n">
        <v>0.1771538462724225</v>
      </c>
      <c r="L2768" t="b">
        <v>1</v>
      </c>
      <c r="M2768" t="b">
        <v>0</v>
      </c>
      <c r="N2768" t="inlineStr">
        <is>
          <t>alt</t>
        </is>
      </c>
      <c r="O2768" t="n">
        <v>-95</v>
      </c>
      <c r="P2768" t="n">
        <v>0.00842</v>
      </c>
      <c r="Q2768" t="n">
        <v>-65</v>
      </c>
      <c r="R2768" t="n">
        <v>0.1841</v>
      </c>
      <c r="S2768">
        <f>IMAGE("https://mitra.stanford.edu/kundaje/oak/projects/neuro-variants/variant_position/credible/roussos_2024/variant_figures/roussos_2024.childhood.GLU/rs1403770_count_position.png",4,220,900)</f>
        <v/>
      </c>
      <c r="T2768">
        <f>IMAGE("https://mitra.stanford.edu/kundaje/oak/projects/neuro-variants/variant_position/credible/roussos_2024/variant_figures/roussos_2024.childhood.GLU/rs1403770_profile_position.png",4,220,900)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-0.0015780308</v>
      </c>
      <c r="G2769" t="n">
        <v>0.4560740440725664</v>
      </c>
      <c r="H2769" t="n">
        <v>0.0207829999666046</v>
      </c>
      <c r="I2769" t="n">
        <v>0.0864736480584818</v>
      </c>
      <c r="J2769" t="n">
        <v>0.8924145178072876</v>
      </c>
      <c r="K2769" t="n">
        <v>0.0024051233225913</v>
      </c>
      <c r="L2769" t="b">
        <v>0</v>
      </c>
      <c r="M2769" t="b">
        <v>0</v>
      </c>
      <c r="N2769" t="inlineStr">
        <is>
          <t>ref</t>
        </is>
      </c>
      <c r="O2769" t="n">
        <v>90</v>
      </c>
      <c r="P2769" t="n">
        <v>0.011475</v>
      </c>
      <c r="Q2769" t="n">
        <v>90</v>
      </c>
      <c r="R2769" t="n">
        <v>0.09669999999999999</v>
      </c>
      <c r="S2769">
        <f>IMAGE("https://mitra.stanford.edu/kundaje/oak/projects/neuro-variants/variant_position/credible/roussos_2024/variant_figures/roussos_2024.childhood.GLU/rs184442184_count_position.png",4,220,900)</f>
        <v/>
      </c>
      <c r="T2769">
        <f>IMAGE("https://mitra.stanford.edu/kundaje/oak/projects/neuro-variants/variant_position/credible/roussos_2024/variant_figures/roussos_2024.childhood.GLU/rs184442184_profile_position.png",4,220,900)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-0.0616079798</v>
      </c>
      <c r="G2770" t="n">
        <v>0.1231409798612042</v>
      </c>
      <c r="H2770" t="n">
        <v>0.0106409250140236</v>
      </c>
      <c r="I2770" t="n">
        <v>0.5899081193509543</v>
      </c>
      <c r="J2770" t="n">
        <v>0.3936075082159745</v>
      </c>
      <c r="K2770" t="n">
        <v>0.0662170689442502</v>
      </c>
      <c r="L2770" t="b">
        <v>0</v>
      </c>
      <c r="M2770" t="b">
        <v>0</v>
      </c>
      <c r="N2770" t="inlineStr">
        <is>
          <t>ref</t>
        </is>
      </c>
      <c r="O2770" t="n">
        <v>90</v>
      </c>
      <c r="P2770" t="n">
        <v>0.03574</v>
      </c>
      <c r="Q2770" t="n">
        <v>65</v>
      </c>
      <c r="R2770" t="n">
        <v>0.3638</v>
      </c>
      <c r="S2770">
        <f>IMAGE("https://mitra.stanford.edu/kundaje/oak/projects/neuro-variants/variant_position/credible/roussos_2024/variant_figures/roussos_2024.childhood.GLU/rs9862763_count_position.png",4,220,900)</f>
        <v/>
      </c>
      <c r="T2770">
        <f>IMAGE("https://mitra.stanford.edu/kundaje/oak/projects/neuro-variants/variant_position/credible/roussos_2024/variant_figures/roussos_2024.childhood.GLU/rs9862763_profile_position.png",4,220,900)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-0.260411616</v>
      </c>
      <c r="G2771" t="n">
        <v>0.0037843142310015</v>
      </c>
      <c r="H2771" t="n">
        <v>0.0386473700919225</v>
      </c>
      <c r="I2771" t="n">
        <v>0.008683532794103201</v>
      </c>
      <c r="J2771" t="n">
        <v>0.2764657401588593</v>
      </c>
      <c r="K2771" t="n">
        <v>0.1071637154093648</v>
      </c>
      <c r="L2771" t="b">
        <v>1</v>
      </c>
      <c r="M2771" t="b">
        <v>1</v>
      </c>
      <c r="N2771" t="inlineStr">
        <is>
          <t>ref</t>
        </is>
      </c>
      <c r="O2771" t="n">
        <v>-100</v>
      </c>
      <c r="P2771" t="n">
        <v>0.00958</v>
      </c>
      <c r="Q2771" t="n">
        <v>-85</v>
      </c>
      <c r="R2771" t="n">
        <v>0.1836</v>
      </c>
      <c r="S2771">
        <f>IMAGE("https://mitra.stanford.edu/kundaje/oak/projects/neuro-variants/variant_position/credible/roussos_2024/variant_figures/roussos_2024.childhood.GLU/rs9836374_count_position.png",4,220,900)</f>
        <v/>
      </c>
      <c r="T2771">
        <f>IMAGE("https://mitra.stanford.edu/kundaje/oak/projects/neuro-variants/variant_position/credible/roussos_2024/variant_figures/roussos_2024.childhood.GLU/rs9836374_profile_position.png",4,220,900)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-0.138966602</v>
      </c>
      <c r="G2772" t="n">
        <v>0.022177436405564</v>
      </c>
      <c r="H2772" t="n">
        <v>0.017514653552913</v>
      </c>
      <c r="I2772" t="n">
        <v>0.1584378205239744</v>
      </c>
      <c r="J2772" t="n">
        <v>0.0426653754623095</v>
      </c>
      <c r="K2772" t="n">
        <v>0.3804289872668634</v>
      </c>
      <c r="L2772" t="b">
        <v>0</v>
      </c>
      <c r="M2772" t="b">
        <v>0</v>
      </c>
      <c r="N2772" t="inlineStr">
        <is>
          <t>ref</t>
        </is>
      </c>
      <c r="O2772" t="n">
        <v>30</v>
      </c>
      <c r="P2772" t="n">
        <v>0.004562</v>
      </c>
      <c r="Q2772" t="n">
        <v>80</v>
      </c>
      <c r="R2772" t="n">
        <v>0.10913</v>
      </c>
      <c r="S2772">
        <f>IMAGE("https://mitra.stanford.edu/kundaje/oak/projects/neuro-variants/variant_position/credible/roussos_2024/variant_figures/roussos_2024.childhood.GLU/rs34311570_count_position.png",4,220,900)</f>
        <v/>
      </c>
      <c r="T2772">
        <f>IMAGE("https://mitra.stanford.edu/kundaje/oak/projects/neuro-variants/variant_position/credible/roussos_2024/variant_figures/roussos_2024.childhood.GLU/rs34311570_profile_position.png",4,220,900)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0.0174792947999999</v>
      </c>
      <c r="G2773" t="n">
        <v>0.3759196046111909</v>
      </c>
      <c r="H2773" t="n">
        <v>0.0148957230127584</v>
      </c>
      <c r="I2773" t="n">
        <v>0.257063748065438</v>
      </c>
      <c r="J2773" t="n">
        <v>0.0113601945048265</v>
      </c>
      <c r="K2773" t="n">
        <v>0.5788743933979896</v>
      </c>
      <c r="L2773" t="b">
        <v>0</v>
      </c>
      <c r="M2773" t="b">
        <v>0</v>
      </c>
      <c r="N2773" t="inlineStr">
        <is>
          <t>alt</t>
        </is>
      </c>
      <c r="O2773" t="n">
        <v>-95</v>
      </c>
      <c r="P2773" t="n">
        <v>0.01015</v>
      </c>
      <c r="Q2773" t="n">
        <v>-75</v>
      </c>
      <c r="R2773" t="n">
        <v>0.02225</v>
      </c>
      <c r="S2773">
        <f>IMAGE("https://mitra.stanford.edu/kundaje/oak/projects/neuro-variants/variant_position/credible/roussos_2024/variant_figures/roussos_2024.childhood.GLU/rs6809006_count_position.png",4,220,900)</f>
        <v/>
      </c>
      <c r="T2773">
        <f>IMAGE("https://mitra.stanford.edu/kundaje/oak/projects/neuro-variants/variant_position/credible/roussos_2024/variant_figures/roussos_2024.childhood.GLU/rs6809006_profile_position.png",4,220,900)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-0.00590428534</v>
      </c>
      <c r="G2774" t="n">
        <v>0.7321849820654002</v>
      </c>
      <c r="H2774" t="n">
        <v>0.0163467382128592</v>
      </c>
      <c r="I2774" t="n">
        <v>0.1950584681462236</v>
      </c>
      <c r="J2774" t="n">
        <v>0.0187653888551206</v>
      </c>
      <c r="K2774" t="n">
        <v>0.5038515857731449</v>
      </c>
      <c r="L2774" t="b">
        <v>0</v>
      </c>
      <c r="M2774" t="b">
        <v>0</v>
      </c>
      <c r="N2774" t="inlineStr">
        <is>
          <t>ref</t>
        </is>
      </c>
      <c r="O2774" t="n">
        <v>-20</v>
      </c>
      <c r="P2774" t="n">
        <v>0.00193</v>
      </c>
      <c r="Q2774" t="n">
        <v>-100</v>
      </c>
      <c r="R2774" t="n">
        <v>0.08057</v>
      </c>
      <c r="S2774">
        <f>IMAGE("https://mitra.stanford.edu/kundaje/oak/projects/neuro-variants/variant_position/credible/roussos_2024/variant_figures/roussos_2024.childhood.GLU/rs4073308_count_position.png",4,220,900)</f>
        <v/>
      </c>
      <c r="T2774">
        <f>IMAGE("https://mitra.stanford.edu/kundaje/oak/projects/neuro-variants/variant_position/credible/roussos_2024/variant_figures/roussos_2024.childhood.GLU/rs4073308_profile_position.png",4,220,900)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0.002960494054</v>
      </c>
      <c r="G2775" t="n">
        <v>0.8041624065596741</v>
      </c>
      <c r="H2775" t="n">
        <v>0.013584685377492</v>
      </c>
      <c r="I2775" t="n">
        <v>0.3307021324561415</v>
      </c>
      <c r="J2775" t="n">
        <v>0.010001339281115</v>
      </c>
      <c r="K2775" t="n">
        <v>0.5883621277525175</v>
      </c>
      <c r="L2775" t="b">
        <v>0</v>
      </c>
      <c r="M2775" t="b">
        <v>0</v>
      </c>
      <c r="N2775" t="inlineStr">
        <is>
          <t>alt</t>
        </is>
      </c>
      <c r="O2775" t="n">
        <v>100</v>
      </c>
      <c r="P2775" t="n">
        <v>0.01312</v>
      </c>
      <c r="Q2775" t="n">
        <v>70</v>
      </c>
      <c r="R2775" t="n">
        <v>0.0203</v>
      </c>
      <c r="S2775">
        <f>IMAGE("https://mitra.stanford.edu/kundaje/oak/projects/neuro-variants/variant_position/credible/roussos_2024/variant_figures/roussos_2024.childhood.GLU/rs9877082_count_position.png",4,220,900)</f>
        <v/>
      </c>
      <c r="T2775">
        <f>IMAGE("https://mitra.stanford.edu/kundaje/oak/projects/neuro-variants/variant_position/credible/roussos_2024/variant_figures/roussos_2024.childhood.GLU/rs9877082_profile_position.png",4,220,900)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0.01492447364</v>
      </c>
      <c r="G2776" t="n">
        <v>0.5499621847347904</v>
      </c>
      <c r="H2776" t="n">
        <v>0.0279024630854306</v>
      </c>
      <c r="I2776" t="n">
        <v>0.0293695944308618</v>
      </c>
      <c r="J2776" t="n">
        <v>0.4625928482388454</v>
      </c>
      <c r="K2776" t="n">
        <v>0.0497272143814315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0.04028</v>
      </c>
      <c r="Q2776" t="n">
        <v>-100</v>
      </c>
      <c r="R2776" t="n">
        <v>0.2139</v>
      </c>
      <c r="S2776">
        <f>IMAGE("https://mitra.stanford.edu/kundaje/oak/projects/neuro-variants/variant_position/credible/roussos_2024/variant_figures/roussos_2024.childhood.GLU/rs7643661_count_position.png",4,220,900)</f>
        <v/>
      </c>
      <c r="T2776">
        <f>IMAGE("https://mitra.stanford.edu/kundaje/oak/projects/neuro-variants/variant_position/credible/roussos_2024/variant_figures/roussos_2024.childhood.GLU/rs7643661_profile_position.png",4,220,900)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-0.0013905056319999</v>
      </c>
      <c r="G2777" t="n">
        <v>0.8012594107008386</v>
      </c>
      <c r="H2777" t="n">
        <v>0.02734549325082</v>
      </c>
      <c r="I2777" t="n">
        <v>0.0306688613549233</v>
      </c>
      <c r="J2777" t="n">
        <v>0.0163886799839285</v>
      </c>
      <c r="K2777" t="n">
        <v>0.5226704502412083</v>
      </c>
      <c r="L2777" t="b">
        <v>0</v>
      </c>
      <c r="M2777" t="b">
        <v>0</v>
      </c>
      <c r="N2777" t="inlineStr">
        <is>
          <t>ref</t>
        </is>
      </c>
      <c r="O2777" t="n">
        <v>-100</v>
      </c>
      <c r="P2777" t="n">
        <v>0.01942</v>
      </c>
      <c r="Q2777" t="n">
        <v>-45</v>
      </c>
      <c r="R2777" t="n">
        <v>0.00958</v>
      </c>
      <c r="S2777">
        <f>IMAGE("https://mitra.stanford.edu/kundaje/oak/projects/neuro-variants/variant_position/credible/roussos_2024/variant_figures/roussos_2024.childhood.GLU/rs9837355_count_position.png",4,220,900)</f>
        <v/>
      </c>
      <c r="T2777">
        <f>IMAGE("https://mitra.stanford.edu/kundaje/oak/projects/neuro-variants/variant_position/credible/roussos_2024/variant_figures/roussos_2024.childhood.GLU/rs9837355_profile_position.png",4,220,900)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-0.060031955</v>
      </c>
      <c r="G2778" t="n">
        <v>0.1345789027346494</v>
      </c>
      <c r="H2778" t="n">
        <v>0.0132966017398957</v>
      </c>
      <c r="I2778" t="n">
        <v>0.3493502928938041</v>
      </c>
      <c r="J2778" t="n">
        <v>0.1187962953423923</v>
      </c>
      <c r="K2778" t="n">
        <v>0.2254176338998808</v>
      </c>
      <c r="L2778" t="b">
        <v>0</v>
      </c>
      <c r="M2778" t="b">
        <v>0</v>
      </c>
      <c r="N2778" t="inlineStr">
        <is>
          <t>ref</t>
        </is>
      </c>
      <c r="O2778" t="n">
        <v>90</v>
      </c>
      <c r="P2778" t="n">
        <v>0.004772</v>
      </c>
      <c r="Q2778" t="n">
        <v>-80</v>
      </c>
      <c r="R2778" t="n">
        <v>0.2231</v>
      </c>
      <c r="S2778">
        <f>IMAGE("https://mitra.stanford.edu/kundaje/oak/projects/neuro-variants/variant_position/credible/roussos_2024/variant_figures/roussos_2024.childhood.GLU/rs9880721_count_position.png",4,220,900)</f>
        <v/>
      </c>
      <c r="T2778">
        <f>IMAGE("https://mitra.stanford.edu/kundaje/oak/projects/neuro-variants/variant_position/credible/roussos_2024/variant_figures/roussos_2024.childhood.GLU/rs9880721_profile_position.png",4,220,900)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-0.0257047372</v>
      </c>
      <c r="G2779" t="n">
        <v>0.3938866067090252</v>
      </c>
      <c r="H2779" t="n">
        <v>0.0091567670839543</v>
      </c>
      <c r="I2779" t="n">
        <v>0.7456041484344649</v>
      </c>
      <c r="J2779" t="n">
        <v>0.015119453573305</v>
      </c>
      <c r="K2779" t="n">
        <v>0.5319172708914099</v>
      </c>
      <c r="L2779" t="b">
        <v>0</v>
      </c>
      <c r="M2779" t="b">
        <v>0</v>
      </c>
      <c r="N2779" t="inlineStr">
        <is>
          <t>ref</t>
        </is>
      </c>
      <c r="O2779" t="n">
        <v>-15</v>
      </c>
      <c r="P2779" t="n">
        <v>0.002495</v>
      </c>
      <c r="Q2779" t="n">
        <v>-100</v>
      </c>
      <c r="R2779" t="n">
        <v>0.0401</v>
      </c>
      <c r="S2779">
        <f>IMAGE("https://mitra.stanford.edu/kundaje/oak/projects/neuro-variants/variant_position/credible/roussos_2024/variant_figures/roussos_2024.childhood.GLU/rs34864445_count_position.png",4,220,900)</f>
        <v/>
      </c>
      <c r="T2779">
        <f>IMAGE("https://mitra.stanford.edu/kundaje/oak/projects/neuro-variants/variant_position/credible/roussos_2024/variant_figures/roussos_2024.childhood.GLU/rs34864445_profile_position.png",4,220,900)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-0.09617200400000001</v>
      </c>
      <c r="G2780" t="n">
        <v>0.0678730622441302</v>
      </c>
      <c r="H2780" t="n">
        <v>0.013867852196801</v>
      </c>
      <c r="I2780" t="n">
        <v>0.3292859432379723</v>
      </c>
      <c r="J2780" t="n">
        <v>0.2086167286513439</v>
      </c>
      <c r="K2780" t="n">
        <v>0.1427719629697162</v>
      </c>
      <c r="L2780" t="b">
        <v>0</v>
      </c>
      <c r="M2780" t="b">
        <v>0</v>
      </c>
      <c r="N2780" t="inlineStr">
        <is>
          <t>ref</t>
        </is>
      </c>
      <c r="O2780" t="n">
        <v>-15</v>
      </c>
      <c r="P2780" t="n">
        <v>0.000412</v>
      </c>
      <c r="Q2780" t="n">
        <v>-10</v>
      </c>
      <c r="R2780" t="n">
        <v>0.01221</v>
      </c>
      <c r="S2780">
        <f>IMAGE("https://mitra.stanford.edu/kundaje/oak/projects/neuro-variants/variant_position/credible/roussos_2024/variant_figures/roussos_2024.childhood.GLU/rs9881400_count_position.png",4,220,900)</f>
        <v/>
      </c>
      <c r="T2780">
        <f>IMAGE("https://mitra.stanford.edu/kundaje/oak/projects/neuro-variants/variant_position/credible/roussos_2024/variant_figures/roussos_2024.childhood.GLU/rs9881400_profile_position.png",4,220,900)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-0.0113518874399999</v>
      </c>
      <c r="G2781" t="n">
        <v>0.6296985657907652</v>
      </c>
      <c r="H2781" t="n">
        <v>0.0175093694161131</v>
      </c>
      <c r="I2781" t="n">
        <v>0.1551735762007283</v>
      </c>
      <c r="J2781" t="n">
        <v>0.1296393212935394</v>
      </c>
      <c r="K2781" t="n">
        <v>0.2074219303993716</v>
      </c>
      <c r="L2781" t="b">
        <v>0</v>
      </c>
      <c r="M2781" t="b">
        <v>0</v>
      </c>
      <c r="N2781" t="inlineStr">
        <is>
          <t>ref</t>
        </is>
      </c>
      <c r="O2781" t="n">
        <v>-100</v>
      </c>
      <c r="P2781" t="n">
        <v>0.1582</v>
      </c>
      <c r="Q2781" t="n">
        <v>-100</v>
      </c>
      <c r="R2781" t="n">
        <v>0.218</v>
      </c>
      <c r="S2781">
        <f>IMAGE("https://mitra.stanford.edu/kundaje/oak/projects/neuro-variants/variant_position/credible/roussos_2024/variant_figures/roussos_2024.childhood.GLU/rs6769762_count_position.png",4,220,900)</f>
        <v/>
      </c>
      <c r="T2781">
        <f>IMAGE("https://mitra.stanford.edu/kundaje/oak/projects/neuro-variants/variant_position/credible/roussos_2024/variant_figures/roussos_2024.childhood.GLU/rs6769762_profile_position.png",4,220,900)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0.0149510254592</v>
      </c>
      <c r="G2782" t="n">
        <v>0.4263152310405075</v>
      </c>
      <c r="H2782" t="n">
        <v>0.0098375147079848</v>
      </c>
      <c r="I2782" t="n">
        <v>0.6802350850962756</v>
      </c>
      <c r="J2782" t="n">
        <v>0.0119422666817764</v>
      </c>
      <c r="K2782" t="n">
        <v>0.567307482377031</v>
      </c>
      <c r="L2782" t="b">
        <v>0</v>
      </c>
      <c r="M2782" t="b">
        <v>0</v>
      </c>
      <c r="N2782" t="inlineStr">
        <is>
          <t>alt</t>
        </is>
      </c>
      <c r="O2782" t="n">
        <v>0</v>
      </c>
      <c r="P2782" t="n">
        <v>0</v>
      </c>
      <c r="Q2782" t="n">
        <v>80</v>
      </c>
      <c r="R2782" t="n">
        <v>0.09265</v>
      </c>
      <c r="S2782">
        <f>IMAGE("https://mitra.stanford.edu/kundaje/oak/projects/neuro-variants/variant_position/credible/roussos_2024/variant_figures/roussos_2024.childhood.GLU/rs28631273_count_position.png",4,220,900)</f>
        <v/>
      </c>
      <c r="T2782">
        <f>IMAGE("https://mitra.stanford.edu/kundaje/oak/projects/neuro-variants/variant_position/credible/roussos_2024/variant_figures/roussos_2024.childhood.GLU/rs28631273_profile_position.png",4,220,900)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0.1125163689999999</v>
      </c>
      <c r="G2783" t="n">
        <v>0.0335549851075874</v>
      </c>
      <c r="H2783" t="n">
        <v>0.0301488269357384</v>
      </c>
      <c r="I2783" t="n">
        <v>0.0205614354286166</v>
      </c>
      <c r="J2783" t="n">
        <v>0.0802033646862476</v>
      </c>
      <c r="K2783" t="n">
        <v>0.2844855305209014</v>
      </c>
      <c r="L2783" t="b">
        <v>0</v>
      </c>
      <c r="M2783" t="b">
        <v>0</v>
      </c>
      <c r="N2783" t="inlineStr">
        <is>
          <t>alt</t>
        </is>
      </c>
      <c r="O2783" t="n">
        <v>100</v>
      </c>
      <c r="P2783" t="n">
        <v>0.00804</v>
      </c>
      <c r="Q2783" t="n">
        <v>-5</v>
      </c>
      <c r="R2783" t="n">
        <v>0.007446</v>
      </c>
      <c r="S2783">
        <f>IMAGE("https://mitra.stanford.edu/kundaje/oak/projects/neuro-variants/variant_position/credible/roussos_2024/variant_figures/roussos_2024.childhood.GLU/rs9826454_count_position.png",4,220,900)</f>
        <v/>
      </c>
      <c r="T2783">
        <f>IMAGE("https://mitra.stanford.edu/kundaje/oak/projects/neuro-variants/variant_position/credible/roussos_2024/variant_figures/roussos_2024.childhood.GLU/rs9826454_profile_position.png",4,220,900)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-0.0511425873999999</v>
      </c>
      <c r="G2784" t="n">
        <v>0.1731453780835469</v>
      </c>
      <c r="H2784" t="n">
        <v>0.0119644370573959</v>
      </c>
      <c r="I2784" t="n">
        <v>0.4490232010854373</v>
      </c>
      <c r="J2784" t="n">
        <v>0.0350314731062049</v>
      </c>
      <c r="K2784" t="n">
        <v>0.4104216870844819</v>
      </c>
      <c r="L2784" t="b">
        <v>0</v>
      </c>
      <c r="M2784" t="b">
        <v>0</v>
      </c>
      <c r="N2784" t="inlineStr">
        <is>
          <t>ref</t>
        </is>
      </c>
      <c r="O2784" t="n">
        <v>-65</v>
      </c>
      <c r="P2784" t="n">
        <v>0.003355</v>
      </c>
      <c r="Q2784" t="n">
        <v>65</v>
      </c>
      <c r="R2784" t="n">
        <v>0.04028</v>
      </c>
      <c r="S2784">
        <f>IMAGE("https://mitra.stanford.edu/kundaje/oak/projects/neuro-variants/variant_position/credible/roussos_2024/variant_figures/roussos_2024.childhood.GLU/rs661739_count_position.png",4,220,900)</f>
        <v/>
      </c>
      <c r="T2784">
        <f>IMAGE("https://mitra.stanford.edu/kundaje/oak/projects/neuro-variants/variant_position/credible/roussos_2024/variant_figures/roussos_2024.childhood.GLU/rs661739_profile_position.png",4,220,900)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0.0030364947999999</v>
      </c>
      <c r="G2785" t="n">
        <v>0.7834726132435444</v>
      </c>
      <c r="H2785" t="n">
        <v>0.0193760741812204</v>
      </c>
      <c r="I2785" t="n">
        <v>0.1107043158986054</v>
      </c>
      <c r="J2785" t="n">
        <v>0.0034471035470344</v>
      </c>
      <c r="K2785" t="n">
        <v>0.7090489663878466</v>
      </c>
      <c r="L2785" t="b">
        <v>0</v>
      </c>
      <c r="M2785" t="b">
        <v>0</v>
      </c>
      <c r="N2785" t="inlineStr">
        <is>
          <t>alt</t>
        </is>
      </c>
      <c r="O2785" t="n">
        <v>75</v>
      </c>
      <c r="P2785" t="n">
        <v>0.001923</v>
      </c>
      <c r="Q2785" t="n">
        <v>-100</v>
      </c>
      <c r="R2785" t="n">
        <v>0.0973</v>
      </c>
      <c r="S2785">
        <f>IMAGE("https://mitra.stanford.edu/kundaje/oak/projects/neuro-variants/variant_position/credible/roussos_2024/variant_figures/roussos_2024.childhood.GLU/rs1153877_count_position.png",4,220,900)</f>
        <v/>
      </c>
      <c r="T2785">
        <f>IMAGE("https://mitra.stanford.edu/kundaje/oak/projects/neuro-variants/variant_position/credible/roussos_2024/variant_figures/roussos_2024.childhood.GLU/rs1153877_profile_position.png",4,220,900)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-0.001624068636</v>
      </c>
      <c r="G2786" t="n">
        <v>0.9169447002822232</v>
      </c>
      <c r="H2786" t="n">
        <v>0.0262185472154654</v>
      </c>
      <c r="I2786" t="n">
        <v>0.0371434175395712</v>
      </c>
      <c r="J2786" t="n">
        <v>0.4567546127932252</v>
      </c>
      <c r="K2786" t="n">
        <v>0.0510144510416287</v>
      </c>
      <c r="L2786" t="b">
        <v>0</v>
      </c>
      <c r="M2786" t="b">
        <v>0</v>
      </c>
      <c r="N2786" t="inlineStr">
        <is>
          <t>ref</t>
        </is>
      </c>
      <c r="O2786" t="n">
        <v>-95</v>
      </c>
      <c r="P2786" t="n">
        <v>0.01584</v>
      </c>
      <c r="Q2786" t="n">
        <v>-100</v>
      </c>
      <c r="R2786" t="n">
        <v>0.2316</v>
      </c>
      <c r="S2786">
        <f>IMAGE("https://mitra.stanford.edu/kundaje/oak/projects/neuro-variants/variant_position/credible/roussos_2024/variant_figures/roussos_2024.childhood.GLU/rs146516051_count_position.png",4,220,900)</f>
        <v/>
      </c>
      <c r="T2786">
        <f>IMAGE("https://mitra.stanford.edu/kundaje/oak/projects/neuro-variants/variant_position/credible/roussos_2024/variant_figures/roussos_2024.childhood.GLU/rs146516051_profile_position.png",4,220,900)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-0.00940852476</v>
      </c>
      <c r="G2787" t="n">
        <v>0.6824727914500516</v>
      </c>
      <c r="H2787" t="n">
        <v>0.0212547247286974</v>
      </c>
      <c r="I2787" t="n">
        <v>0.0798174751219633</v>
      </c>
      <c r="J2787" t="n">
        <v>0.0281671422831651</v>
      </c>
      <c r="K2787" t="n">
        <v>0.4362886010961985</v>
      </c>
      <c r="L2787" t="b">
        <v>0</v>
      </c>
      <c r="M2787" t="b">
        <v>0</v>
      </c>
      <c r="N2787" t="inlineStr">
        <is>
          <t>ref</t>
        </is>
      </c>
      <c r="O2787" t="n">
        <v>-100</v>
      </c>
      <c r="P2787" t="n">
        <v>0.0127</v>
      </c>
      <c r="Q2787" t="n">
        <v>100</v>
      </c>
      <c r="R2787" t="n">
        <v>0.04816</v>
      </c>
      <c r="S2787">
        <f>IMAGE("https://mitra.stanford.edu/kundaje/oak/projects/neuro-variants/variant_position/credible/roussos_2024/variant_figures/roussos_2024.childhood.GLU/rs480162_count_position.png",4,220,900)</f>
        <v/>
      </c>
      <c r="T2787">
        <f>IMAGE("https://mitra.stanford.edu/kundaje/oak/projects/neuro-variants/variant_position/credible/roussos_2024/variant_figures/roussos_2024.childhood.GLU/rs480162_profile_position.png",4,220,900)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0.0411829946</v>
      </c>
      <c r="G2788" t="n">
        <v>0.2306367077604958</v>
      </c>
      <c r="H2788" t="n">
        <v>0.0167620131600522</v>
      </c>
      <c r="I2788" t="n">
        <v>0.1807867913535471</v>
      </c>
      <c r="J2788" t="n">
        <v>0.008294270967476</v>
      </c>
      <c r="K2788" t="n">
        <v>0.6121729471049585</v>
      </c>
      <c r="L2788" t="b">
        <v>0</v>
      </c>
      <c r="M2788" t="b">
        <v>0</v>
      </c>
      <c r="N2788" t="inlineStr">
        <is>
          <t>alt</t>
        </is>
      </c>
      <c r="O2788" t="n">
        <v>100</v>
      </c>
      <c r="P2788" t="n">
        <v>0.0058</v>
      </c>
      <c r="Q2788" t="n">
        <v>25</v>
      </c>
      <c r="R2788" t="n">
        <v>0.07794</v>
      </c>
      <c r="S2788">
        <f>IMAGE("https://mitra.stanford.edu/kundaje/oak/projects/neuro-variants/variant_position/credible/roussos_2024/variant_figures/roussos_2024.childhood.GLU/rs35418151_count_position.png",4,220,900)</f>
        <v/>
      </c>
      <c r="T2788">
        <f>IMAGE("https://mitra.stanford.edu/kundaje/oak/projects/neuro-variants/variant_position/credible/roussos_2024/variant_figures/roussos_2024.childhood.GLU/rs35418151_profile_position.png",4,220,900)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0.1008834382</v>
      </c>
      <c r="G2789" t="n">
        <v>0.0457754533551378</v>
      </c>
      <c r="H2789" t="n">
        <v>0.0144803771291407</v>
      </c>
      <c r="I2789" t="n">
        <v>0.2868570088228177</v>
      </c>
      <c r="J2789" t="n">
        <v>0.113462865855543</v>
      </c>
      <c r="K2789" t="n">
        <v>0.2330706791954097</v>
      </c>
      <c r="L2789" t="b">
        <v>0</v>
      </c>
      <c r="M2789" t="b">
        <v>0</v>
      </c>
      <c r="N2789" t="inlineStr">
        <is>
          <t>alt</t>
        </is>
      </c>
      <c r="O2789" t="n">
        <v>20</v>
      </c>
      <c r="P2789" t="n">
        <v>0.00058</v>
      </c>
      <c r="Q2789" t="n">
        <v>-55</v>
      </c>
      <c r="R2789" t="n">
        <v>0.08636000000000001</v>
      </c>
      <c r="S2789">
        <f>IMAGE("https://mitra.stanford.edu/kundaje/oak/projects/neuro-variants/variant_position/credible/roussos_2024/variant_figures/roussos_2024.childhood.GLU/rs10804640_count_position.png",4,220,900)</f>
        <v/>
      </c>
      <c r="T2789">
        <f>IMAGE("https://mitra.stanford.edu/kundaje/oak/projects/neuro-variants/variant_position/credible/roussos_2024/variant_figures/roussos_2024.childhood.GLU/rs10804640_profile_position.png",4,220,900)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0.0333596734</v>
      </c>
      <c r="G2790" t="n">
        <v>0.2988580779820297</v>
      </c>
      <c r="H2790" t="n">
        <v>0.0246101629614692</v>
      </c>
      <c r="I2790" t="n">
        <v>0.047649806045616</v>
      </c>
      <c r="J2790" t="n">
        <v>0.0088351344947303</v>
      </c>
      <c r="K2790" t="n">
        <v>0.6067155665566339</v>
      </c>
      <c r="L2790" t="b">
        <v>0</v>
      </c>
      <c r="M2790" t="b">
        <v>0</v>
      </c>
      <c r="N2790" t="inlineStr">
        <is>
          <t>alt</t>
        </is>
      </c>
      <c r="O2790" t="n">
        <v>-40</v>
      </c>
      <c r="P2790" t="n">
        <v>0.004883</v>
      </c>
      <c r="Q2790" t="n">
        <v>-80</v>
      </c>
      <c r="R2790" t="n">
        <v>0.128</v>
      </c>
      <c r="S2790">
        <f>IMAGE("https://mitra.stanford.edu/kundaje/oak/projects/neuro-variants/variant_position/credible/roussos_2024/variant_figures/roussos_2024.childhood.GLU/rs1394094_count_position.png",4,220,900)</f>
        <v/>
      </c>
      <c r="T2790">
        <f>IMAGE("https://mitra.stanford.edu/kundaje/oak/projects/neuro-variants/variant_position/credible/roussos_2024/variant_figures/roussos_2024.childhood.GLU/rs1394094_profile_position.png",4,220,900)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0.0667011925999999</v>
      </c>
      <c r="G2791" t="n">
        <v>0.1014171505824124</v>
      </c>
      <c r="H2791" t="n">
        <v>0.010534110542643</v>
      </c>
      <c r="I2791" t="n">
        <v>0.6058831815753334</v>
      </c>
      <c r="J2791" t="n">
        <v>0.0003358504950188</v>
      </c>
      <c r="K2791" t="n">
        <v>0.8930403131859289</v>
      </c>
      <c r="L2791" t="b">
        <v>0</v>
      </c>
      <c r="M2791" t="b">
        <v>0</v>
      </c>
      <c r="N2791" t="inlineStr">
        <is>
          <t>alt</t>
        </is>
      </c>
      <c r="O2791" t="n">
        <v>-65</v>
      </c>
      <c r="P2791" t="n">
        <v>0.0516</v>
      </c>
      <c r="Q2791" t="n">
        <v>10</v>
      </c>
      <c r="R2791" t="n">
        <v>0.02046</v>
      </c>
      <c r="S2791">
        <f>IMAGE("https://mitra.stanford.edu/kundaje/oak/projects/neuro-variants/variant_position/credible/roussos_2024/variant_figures/roussos_2024.childhood.GLU/rs73226190_count_position.png",4,220,900)</f>
        <v/>
      </c>
      <c r="T2791">
        <f>IMAGE("https://mitra.stanford.edu/kundaje/oak/projects/neuro-variants/variant_position/credible/roussos_2024/variant_figures/roussos_2024.childhood.GLU/rs73226190_profile_position.png",4,220,900)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-0.037823121</v>
      </c>
      <c r="G2792" t="n">
        <v>0.2677560691105574</v>
      </c>
      <c r="H2792" t="n">
        <v>0.0100537666170133</v>
      </c>
      <c r="I2792" t="n">
        <v>0.633066579971832</v>
      </c>
      <c r="J2792" t="n">
        <v>0.0573696518899316</v>
      </c>
      <c r="K2792" t="n">
        <v>0.3329997606337295</v>
      </c>
      <c r="L2792" t="b">
        <v>0</v>
      </c>
      <c r="M2792" t="b">
        <v>0</v>
      </c>
      <c r="N2792" t="inlineStr">
        <is>
          <t>ref</t>
        </is>
      </c>
      <c r="O2792" t="n">
        <v>-55</v>
      </c>
      <c r="P2792" t="n">
        <v>0.02045</v>
      </c>
      <c r="Q2792" t="n">
        <v>-95</v>
      </c>
      <c r="R2792" t="n">
        <v>0.1333</v>
      </c>
      <c r="S2792">
        <f>IMAGE("https://mitra.stanford.edu/kundaje/oak/projects/neuro-variants/variant_position/credible/roussos_2024/variant_figures/roussos_2024.childhood.GLU/rs1070228_count_position.png",4,220,900)</f>
        <v/>
      </c>
      <c r="T2792">
        <f>IMAGE("https://mitra.stanford.edu/kundaje/oak/projects/neuro-variants/variant_position/credible/roussos_2024/variant_figures/roussos_2024.childhood.GLU/rs1070228_profile_position.png",4,220,900)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-0.0326041788</v>
      </c>
      <c r="G2793" t="n">
        <v>0.3206200734673641</v>
      </c>
      <c r="H2793" t="n">
        <v>0.009934375205475901</v>
      </c>
      <c r="I2793" t="n">
        <v>0.6633903109283016</v>
      </c>
      <c r="J2793" t="n">
        <v>0.0143127942555141</v>
      </c>
      <c r="K2793" t="n">
        <v>0.5518532033684438</v>
      </c>
      <c r="L2793" t="b">
        <v>0</v>
      </c>
      <c r="M2793" t="b">
        <v>0</v>
      </c>
      <c r="N2793" t="inlineStr">
        <is>
          <t>ref</t>
        </is>
      </c>
      <c r="O2793" t="n">
        <v>-90</v>
      </c>
      <c r="P2793" t="n">
        <v>0.01496</v>
      </c>
      <c r="Q2793" t="n">
        <v>-20</v>
      </c>
      <c r="R2793" t="n">
        <v>0.02026</v>
      </c>
      <c r="S2793">
        <f>IMAGE("https://mitra.stanford.edu/kundaje/oak/projects/neuro-variants/variant_position/credible/roussos_2024/variant_figures/roussos_2024.childhood.GLU/rs1280622_count_position.png",4,220,900)</f>
        <v/>
      </c>
      <c r="T2793">
        <f>IMAGE("https://mitra.stanford.edu/kundaje/oak/projects/neuro-variants/variant_position/credible/roussos_2024/variant_figures/roussos_2024.childhood.GLU/rs1280622_profile_position.png",4,220,900)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-0.1117241368</v>
      </c>
      <c r="G2794" t="n">
        <v>0.0374070912985159</v>
      </c>
      <c r="H2794" t="n">
        <v>0.019606117751604</v>
      </c>
      <c r="I2794" t="n">
        <v>0.1086068006142465</v>
      </c>
      <c r="J2794" t="n">
        <v>0.1120689832795903</v>
      </c>
      <c r="K2794" t="n">
        <v>0.230745103291578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0.02832</v>
      </c>
      <c r="Q2794" t="n">
        <v>-100</v>
      </c>
      <c r="R2794" t="n">
        <v>0.09314</v>
      </c>
      <c r="S2794">
        <f>IMAGE("https://mitra.stanford.edu/kundaje/oak/projects/neuro-variants/variant_position/credible/roussos_2024/variant_figures/roussos_2024.childhood.GLU/rs56695781_count_position.png",4,220,900)</f>
        <v/>
      </c>
      <c r="T2794">
        <f>IMAGE("https://mitra.stanford.edu/kundaje/oak/projects/neuro-variants/variant_position/credible/roussos_2024/variant_figures/roussos_2024.childhood.GLU/rs56695781_profile_position.png",4,220,900)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0.0195598549999999</v>
      </c>
      <c r="G2795" t="n">
        <v>0.4482876347155492</v>
      </c>
      <c r="H2795" t="n">
        <v>0.0143799254611291</v>
      </c>
      <c r="I2795" t="n">
        <v>0.2811770572869762</v>
      </c>
      <c r="J2795" t="n">
        <v>0.1131105319006459</v>
      </c>
      <c r="K2795" t="n">
        <v>0.2269261196271038</v>
      </c>
      <c r="L2795" t="b">
        <v>0</v>
      </c>
      <c r="M2795" t="b">
        <v>0</v>
      </c>
      <c r="N2795" t="inlineStr">
        <is>
          <t>alt</t>
        </is>
      </c>
      <c r="O2795" t="n">
        <v>-5</v>
      </c>
      <c r="P2795" t="n">
        <v>0.0002441</v>
      </c>
      <c r="Q2795" t="n">
        <v>-15</v>
      </c>
      <c r="R2795" t="n">
        <v>0.03076</v>
      </c>
      <c r="S2795">
        <f>IMAGE("https://mitra.stanford.edu/kundaje/oak/projects/neuro-variants/variant_position/credible/roussos_2024/variant_figures/roussos_2024.childhood.GLU/rs4420814_count_position.png",4,220,900)</f>
        <v/>
      </c>
      <c r="T2795">
        <f>IMAGE("https://mitra.stanford.edu/kundaje/oak/projects/neuro-variants/variant_position/credible/roussos_2024/variant_figures/roussos_2024.childhood.GLU/rs4420814_profile_position.png",4,220,900)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-0.0615057372</v>
      </c>
      <c r="G2796" t="n">
        <v>0.1234060671790291</v>
      </c>
      <c r="H2796" t="n">
        <v>0.028725229187776</v>
      </c>
      <c r="I2796" t="n">
        <v>0.0255382180936131</v>
      </c>
      <c r="J2796" t="n">
        <v>0.8897709829293168</v>
      </c>
      <c r="K2796" t="n">
        <v>0.0025907705666867</v>
      </c>
      <c r="L2796" t="b">
        <v>0</v>
      </c>
      <c r="M2796" t="b">
        <v>0</v>
      </c>
      <c r="N2796" t="inlineStr">
        <is>
          <t>ref</t>
        </is>
      </c>
      <c r="O2796" t="n">
        <v>-95</v>
      </c>
      <c r="P2796" t="n">
        <v>0.01012</v>
      </c>
      <c r="Q2796" t="n">
        <v>15</v>
      </c>
      <c r="R2796" t="n">
        <v>0.006958</v>
      </c>
      <c r="S2796">
        <f>IMAGE("https://mitra.stanford.edu/kundaje/oak/projects/neuro-variants/variant_position/credible/roussos_2024/variant_figures/roussos_2024.childhood.GLU/rs149346914_count_position.png",4,220,900)</f>
        <v/>
      </c>
      <c r="T2796">
        <f>IMAGE("https://mitra.stanford.edu/kundaje/oak/projects/neuro-variants/variant_position/credible/roussos_2024/variant_figures/roussos_2024.childhood.GLU/rs149346914_profile_position.png",4,220,900)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0.0399392428</v>
      </c>
      <c r="G2797" t="n">
        <v>0.2551547640372313</v>
      </c>
      <c r="H2797" t="n">
        <v>0.0405946340215414</v>
      </c>
      <c r="I2797" t="n">
        <v>0.0061393304862256</v>
      </c>
      <c r="J2797" t="n">
        <v>0.1067736717937094</v>
      </c>
      <c r="K2797" t="n">
        <v>0.2355064531535959</v>
      </c>
      <c r="L2797" t="b">
        <v>1</v>
      </c>
      <c r="M2797" t="b">
        <v>1</v>
      </c>
      <c r="N2797" t="inlineStr">
        <is>
          <t>alt</t>
        </is>
      </c>
      <c r="O2797" t="n">
        <v>-30</v>
      </c>
      <c r="P2797" t="n">
        <v>0.00341</v>
      </c>
      <c r="Q2797" t="n">
        <v>-100</v>
      </c>
      <c r="R2797" t="n">
        <v>0.089</v>
      </c>
      <c r="S2797">
        <f>IMAGE("https://mitra.stanford.edu/kundaje/oak/projects/neuro-variants/variant_position/credible/roussos_2024/variant_figures/roussos_2024.childhood.GLU/rs4683442_count_position.png",4,220,900)</f>
        <v/>
      </c>
      <c r="T2797">
        <f>IMAGE("https://mitra.stanford.edu/kundaje/oak/projects/neuro-variants/variant_position/credible/roussos_2024/variant_figures/roussos_2024.childhood.GLU/rs4683442_profile_position.png",4,220,900)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-0.0148034709399999</v>
      </c>
      <c r="G2798" t="n">
        <v>0.5713142616684652</v>
      </c>
      <c r="H2798" t="n">
        <v>0.0096833596603487</v>
      </c>
      <c r="I2798" t="n">
        <v>0.6834356217756945</v>
      </c>
      <c r="J2798" t="n">
        <v>0.0035779410098179</v>
      </c>
      <c r="K2798" t="n">
        <v>0.7175859930991363</v>
      </c>
      <c r="L2798" t="b">
        <v>0</v>
      </c>
      <c r="M2798" t="b">
        <v>0</v>
      </c>
      <c r="N2798" t="inlineStr">
        <is>
          <t>ref</t>
        </is>
      </c>
      <c r="O2798" t="n">
        <v>95</v>
      </c>
      <c r="P2798" t="n">
        <v>0.02931</v>
      </c>
      <c r="Q2798" t="n">
        <v>95</v>
      </c>
      <c r="R2798" t="n">
        <v>0.2976</v>
      </c>
      <c r="S2798">
        <f>IMAGE("https://mitra.stanford.edu/kundaje/oak/projects/neuro-variants/variant_position/credible/roussos_2024/variant_figures/roussos_2024.childhood.GLU/rs3886152_count_position.png",4,220,900)</f>
        <v/>
      </c>
      <c r="T2798">
        <f>IMAGE("https://mitra.stanford.edu/kundaje/oak/projects/neuro-variants/variant_position/credible/roussos_2024/variant_figures/roussos_2024.childhood.GLU/rs3886152_profile_position.png",4,220,900)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0.1226052681999999</v>
      </c>
      <c r="G2799" t="n">
        <v>0.0275924420947715</v>
      </c>
      <c r="H2799" t="n">
        <v>0.0180314483307158</v>
      </c>
      <c r="I2799" t="n">
        <v>0.1384602940164087</v>
      </c>
      <c r="J2799" t="n">
        <v>0.509863290304635</v>
      </c>
      <c r="K2799" t="n">
        <v>0.0408832204606009</v>
      </c>
      <c r="L2799" t="b">
        <v>0</v>
      </c>
      <c r="M2799" t="b">
        <v>0</v>
      </c>
      <c r="N2799" t="inlineStr">
        <is>
          <t>alt</t>
        </is>
      </c>
      <c r="O2799" t="n">
        <v>-95</v>
      </c>
      <c r="P2799" t="n">
        <v>0.004578</v>
      </c>
      <c r="Q2799" t="n">
        <v>10</v>
      </c>
      <c r="R2799" t="n">
        <v>0.00537</v>
      </c>
      <c r="S2799">
        <f>IMAGE("https://mitra.stanford.edu/kundaje/oak/projects/neuro-variants/variant_position/credible/roussos_2024/variant_figures/roussos_2024.childhood.GLU/rs4683725_count_position.png",4,220,900)</f>
        <v/>
      </c>
      <c r="T2799">
        <f>IMAGE("https://mitra.stanford.edu/kundaje/oak/projects/neuro-variants/variant_position/credible/roussos_2024/variant_figures/roussos_2024.childhood.GLU/rs4683725_profile_position.png",4,220,900)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0.044628897</v>
      </c>
      <c r="G2800" t="n">
        <v>0.2038831777940335</v>
      </c>
      <c r="H2800" t="n">
        <v>0.014359191641602</v>
      </c>
      <c r="I2800" t="n">
        <v>0.2804343712458017</v>
      </c>
      <c r="J2800" t="n">
        <v>0.4108605396272677</v>
      </c>
      <c r="K2800" t="n">
        <v>0.0618712080488857</v>
      </c>
      <c r="L2800" t="b">
        <v>0</v>
      </c>
      <c r="M2800" t="b">
        <v>0</v>
      </c>
      <c r="N2800" t="inlineStr">
        <is>
          <t>alt</t>
        </is>
      </c>
      <c r="O2800" t="n">
        <v>-80</v>
      </c>
      <c r="P2800" t="n">
        <v>0.002472</v>
      </c>
      <c r="Q2800" t="n">
        <v>50</v>
      </c>
      <c r="R2800" t="n">
        <v>0.02588</v>
      </c>
      <c r="S2800">
        <f>IMAGE("https://mitra.stanford.edu/kundaje/oak/projects/neuro-variants/variant_position/credible/roussos_2024/variant_figures/roussos_2024.childhood.GLU/rs9289654_count_position.png",4,220,900)</f>
        <v/>
      </c>
      <c r="T2800">
        <f>IMAGE("https://mitra.stanford.edu/kundaje/oak/projects/neuro-variants/variant_position/credible/roussos_2024/variant_figures/roussos_2024.childhood.GLU/rs9289654_profile_position.png",4,220,900)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-0.173679796</v>
      </c>
      <c r="G2801" t="n">
        <v>0.0122278091315737</v>
      </c>
      <c r="H2801" t="n">
        <v>0.0293779130298365</v>
      </c>
      <c r="I2801" t="n">
        <v>0.0255105906098828</v>
      </c>
      <c r="J2801" t="n">
        <v>0.1065202385980817</v>
      </c>
      <c r="K2801" t="n">
        <v>0.2350921247790454</v>
      </c>
      <c r="L2801" t="b">
        <v>1</v>
      </c>
      <c r="M2801" t="b">
        <v>0</v>
      </c>
      <c r="N2801" t="inlineStr">
        <is>
          <t>ref</t>
        </is>
      </c>
      <c r="O2801" t="n">
        <v>50</v>
      </c>
      <c r="P2801" t="n">
        <v>0.009155</v>
      </c>
      <c r="Q2801" t="n">
        <v>50</v>
      </c>
      <c r="R2801" t="n">
        <v>0.2169</v>
      </c>
      <c r="S2801">
        <f>IMAGE("https://mitra.stanford.edu/kundaje/oak/projects/neuro-variants/variant_position/credible/roussos_2024/variant_figures/roussos_2024.childhood.GLU/rs750869_count_position.png",4,220,900)</f>
        <v/>
      </c>
      <c r="T2801">
        <f>IMAGE("https://mitra.stanford.edu/kundaje/oak/projects/neuro-variants/variant_position/credible/roussos_2024/variant_figures/roussos_2024.childhood.GLU/rs750869_profile_position.png",4,220,900)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0.151575695</v>
      </c>
      <c r="G2802" t="n">
        <v>0.0178013626058903</v>
      </c>
      <c r="H2802" t="n">
        <v>0.0222864348902271</v>
      </c>
      <c r="I2802" t="n">
        <v>0.0726393540029811</v>
      </c>
      <c r="J2802" t="n">
        <v>0.2341537288676893</v>
      </c>
      <c r="K2802" t="n">
        <v>0.1282512841593552</v>
      </c>
      <c r="L2802" t="b">
        <v>1</v>
      </c>
      <c r="M2802" t="b">
        <v>0</v>
      </c>
      <c r="N2802" t="inlineStr">
        <is>
          <t>alt</t>
        </is>
      </c>
      <c r="O2802" t="n">
        <v>-95</v>
      </c>
      <c r="P2802" t="n">
        <v>0.01204</v>
      </c>
      <c r="Q2802" t="n">
        <v>-95</v>
      </c>
      <c r="R2802" t="n">
        <v>0.1448</v>
      </c>
      <c r="S2802">
        <f>IMAGE("https://mitra.stanford.edu/kundaje/oak/projects/neuro-variants/variant_position/credible/roussos_2024/variant_figures/roussos_2024.childhood.GLU/rs10804685_count_position.png",4,220,900)</f>
        <v/>
      </c>
      <c r="T2802">
        <f>IMAGE("https://mitra.stanford.edu/kundaje/oak/projects/neuro-variants/variant_position/credible/roussos_2024/variant_figures/roussos_2024.childhood.GLU/rs10804685_profile_position.png",4,220,900)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0.134746022</v>
      </c>
      <c r="G2803" t="n">
        <v>0.024974679063556</v>
      </c>
      <c r="H2803" t="n">
        <v>0.0217078419318362</v>
      </c>
      <c r="I2803" t="n">
        <v>0.0785148848195627</v>
      </c>
      <c r="J2803" t="n">
        <v>0.0131671937939773</v>
      </c>
      <c r="K2803" t="n">
        <v>0.5503564355113515</v>
      </c>
      <c r="L2803" t="b">
        <v>0</v>
      </c>
      <c r="M2803" t="b">
        <v>0</v>
      </c>
      <c r="N2803" t="inlineStr">
        <is>
          <t>alt</t>
        </is>
      </c>
      <c r="O2803" t="n">
        <v>75</v>
      </c>
      <c r="P2803" t="n">
        <v>0.0312</v>
      </c>
      <c r="Q2803" t="n">
        <v>85</v>
      </c>
      <c r="R2803" t="n">
        <v>0.1716</v>
      </c>
      <c r="S2803">
        <f>IMAGE("https://mitra.stanford.edu/kundaje/oak/projects/neuro-variants/variant_position/credible/roussos_2024/variant_figures/roussos_2024.childhood.GLU/rs8179934_count_position.png",4,220,900)</f>
        <v/>
      </c>
      <c r="T2803">
        <f>IMAGE("https://mitra.stanford.edu/kundaje/oak/projects/neuro-variants/variant_position/credible/roussos_2024/variant_figures/roussos_2024.childhood.GLU/rs8179934_profile_position.png",4,220,900)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-0.008152112059999999</v>
      </c>
      <c r="G2804" t="n">
        <v>0.5765596231130755</v>
      </c>
      <c r="H2804" t="n">
        <v>0.0233767895072768</v>
      </c>
      <c r="I2804" t="n">
        <v>0.0584514149626279</v>
      </c>
      <c r="J2804" t="n">
        <v>0.0499582762421831</v>
      </c>
      <c r="K2804" t="n">
        <v>0.3516770083531578</v>
      </c>
      <c r="L2804" t="b">
        <v>0</v>
      </c>
      <c r="M2804" t="b">
        <v>0</v>
      </c>
      <c r="N2804" t="inlineStr">
        <is>
          <t>ref</t>
        </is>
      </c>
      <c r="O2804" t="n">
        <v>100</v>
      </c>
      <c r="P2804" t="n">
        <v>0.02905</v>
      </c>
      <c r="Q2804" t="n">
        <v>-5</v>
      </c>
      <c r="R2804" t="n">
        <v>0.03394</v>
      </c>
      <c r="S2804">
        <f>IMAGE("https://mitra.stanford.edu/kundaje/oak/projects/neuro-variants/variant_position/credible/roussos_2024/variant_figures/roussos_2024.childhood.GLU/rs9832859_count_position.png",4,220,900)</f>
        <v/>
      </c>
      <c r="T2804">
        <f>IMAGE("https://mitra.stanford.edu/kundaje/oak/projects/neuro-variants/variant_position/credible/roussos_2024/variant_figures/roussos_2024.childhood.GLU/rs9832859_profile_position.png",4,220,900)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-0.0493946572</v>
      </c>
      <c r="G2805" t="n">
        <v>0.1873392201656963</v>
      </c>
      <c r="H2805" t="n">
        <v>0.0152146648985474</v>
      </c>
      <c r="I2805" t="n">
        <v>0.2362201574879054</v>
      </c>
      <c r="J2805" t="n">
        <v>0.0081974306406914</v>
      </c>
      <c r="K2805" t="n">
        <v>0.6125756688252574</v>
      </c>
      <c r="L2805" t="b">
        <v>0</v>
      </c>
      <c r="M2805" t="b">
        <v>0</v>
      </c>
      <c r="N2805" t="inlineStr">
        <is>
          <t>ref</t>
        </is>
      </c>
      <c r="O2805" t="n">
        <v>-95</v>
      </c>
      <c r="P2805" t="n">
        <v>0.003159</v>
      </c>
      <c r="Q2805" t="n">
        <v>70</v>
      </c>
      <c r="R2805" t="n">
        <v>0.03583</v>
      </c>
      <c r="S2805">
        <f>IMAGE("https://mitra.stanford.edu/kundaje/oak/projects/neuro-variants/variant_position/credible/roussos_2024/variant_figures/roussos_2024.childhood.GLU/rs514816_count_position.png",4,220,900)</f>
        <v/>
      </c>
      <c r="T2805">
        <f>IMAGE("https://mitra.stanford.edu/kundaje/oak/projects/neuro-variants/variant_position/credible/roussos_2024/variant_figures/roussos_2024.childhood.GLU/rs514816_profile_position.png",4,220,900)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-0.1236850848</v>
      </c>
      <c r="G2806" t="n">
        <v>0.0277571358173317</v>
      </c>
      <c r="H2806" t="n">
        <v>0.0142933008015849</v>
      </c>
      <c r="I2806" t="n">
        <v>0.2862912036033438</v>
      </c>
      <c r="J2806" t="n">
        <v>0.0133938413673029</v>
      </c>
      <c r="K2806" t="n">
        <v>0.5449223182495352</v>
      </c>
      <c r="L2806" t="b">
        <v>0</v>
      </c>
      <c r="M2806" t="b">
        <v>0</v>
      </c>
      <c r="N2806" t="inlineStr">
        <is>
          <t>ref</t>
        </is>
      </c>
      <c r="O2806" t="n">
        <v>-70</v>
      </c>
      <c r="P2806" t="n">
        <v>0.0979</v>
      </c>
      <c r="Q2806" t="n">
        <v>-55</v>
      </c>
      <c r="R2806" t="n">
        <v>0.1573</v>
      </c>
      <c r="S2806">
        <f>IMAGE("https://mitra.stanford.edu/kundaje/oak/projects/neuro-variants/variant_position/credible/roussos_2024/variant_figures/roussos_2024.childhood.GLU/rs308693_count_position.png",4,220,900)</f>
        <v/>
      </c>
      <c r="T2806">
        <f>IMAGE("https://mitra.stanford.edu/kundaje/oak/projects/neuro-variants/variant_position/credible/roussos_2024/variant_figures/roussos_2024.childhood.GLU/rs308693_profile_position.png",4,220,900)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0.1291816432</v>
      </c>
      <c r="G2807" t="n">
        <v>0.0249343364556762</v>
      </c>
      <c r="H2807" t="n">
        <v>0.0275322477218895</v>
      </c>
      <c r="I2807" t="n">
        <v>0.0319658383334341</v>
      </c>
      <c r="J2807" t="n">
        <v>0.1525564816054889</v>
      </c>
      <c r="K2807" t="n">
        <v>0.1865940427921093</v>
      </c>
      <c r="L2807" t="b">
        <v>0</v>
      </c>
      <c r="M2807" t="b">
        <v>0</v>
      </c>
      <c r="N2807" t="inlineStr">
        <is>
          <t>alt</t>
        </is>
      </c>
      <c r="O2807" t="n">
        <v>-100</v>
      </c>
      <c r="P2807" t="n">
        <v>0.0004425</v>
      </c>
      <c r="Q2807" t="n">
        <v>-25</v>
      </c>
      <c r="R2807" t="n">
        <v>0.00757</v>
      </c>
      <c r="S2807">
        <f>IMAGE("https://mitra.stanford.edu/kundaje/oak/projects/neuro-variants/variant_position/credible/roussos_2024/variant_figures/roussos_2024.childhood.GLU/rs308698_count_position.png",4,220,900)</f>
        <v/>
      </c>
      <c r="T2807">
        <f>IMAGE("https://mitra.stanford.edu/kundaje/oak/projects/neuro-variants/variant_position/credible/roussos_2024/variant_figures/roussos_2024.childhood.GLU/rs308698_profile_position.png",4,220,900)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0.0016721411599999</v>
      </c>
      <c r="G2808" t="n">
        <v>0.2383862073057827</v>
      </c>
      <c r="H2808" t="n">
        <v>0.0131049621745016</v>
      </c>
      <c r="I2808" t="n">
        <v>0.3522750540916609</v>
      </c>
      <c r="J2808" t="n">
        <v>0.1114034635870068</v>
      </c>
      <c r="K2808" t="n">
        <v>0.2316750835728441</v>
      </c>
      <c r="L2808" t="b">
        <v>0</v>
      </c>
      <c r="M2808" t="b">
        <v>0</v>
      </c>
      <c r="N2808" t="inlineStr">
        <is>
          <t>alt</t>
        </is>
      </c>
      <c r="O2808" t="n">
        <v>-20</v>
      </c>
      <c r="P2808" t="n">
        <v>0.013725</v>
      </c>
      <c r="Q2808" t="n">
        <v>-20</v>
      </c>
      <c r="R2808" t="n">
        <v>0.04468</v>
      </c>
      <c r="S2808">
        <f>IMAGE("https://mitra.stanford.edu/kundaje/oak/projects/neuro-variants/variant_position/credible/roussos_2024/variant_figures/roussos_2024.childhood.GLU/rs308699_count_position.png",4,220,900)</f>
        <v/>
      </c>
      <c r="T2808">
        <f>IMAGE("https://mitra.stanford.edu/kundaje/oak/projects/neuro-variants/variant_position/credible/roussos_2024/variant_figures/roussos_2024.childhood.GLU/rs308699_profile_position.png",4,220,900)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-0.231097746</v>
      </c>
      <c r="G2809" t="n">
        <v>0.0048819901606354</v>
      </c>
      <c r="H2809" t="n">
        <v>0.0516054793258013</v>
      </c>
      <c r="I2809" t="n">
        <v>0.0024306938980124</v>
      </c>
      <c r="J2809" t="n">
        <v>0.0554132712456344</v>
      </c>
      <c r="K2809" t="n">
        <v>0.3376330328238241</v>
      </c>
      <c r="L2809" t="b">
        <v>1</v>
      </c>
      <c r="M2809" t="b">
        <v>1</v>
      </c>
      <c r="N2809" t="inlineStr">
        <is>
          <t>ref</t>
        </is>
      </c>
      <c r="O2809" t="n">
        <v>10</v>
      </c>
      <c r="P2809" t="n">
        <v>0.001404</v>
      </c>
      <c r="Q2809" t="n">
        <v>15</v>
      </c>
      <c r="R2809" t="n">
        <v>0.03223</v>
      </c>
      <c r="S2809">
        <f>IMAGE("https://mitra.stanford.edu/kundaje/oak/projects/neuro-variants/variant_position/credible/roussos_2024/variant_figures/roussos_2024.childhood.GLU/rs9865618_count_position.png",4,220,900)</f>
        <v/>
      </c>
      <c r="T2809">
        <f>IMAGE("https://mitra.stanford.edu/kundaje/oak/projects/neuro-variants/variant_position/credible/roussos_2024/variant_figures/roussos_2024.childhood.GLU/rs9865618_profile_position.png",4,220,900)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0.01234465578</v>
      </c>
      <c r="G2810" t="n">
        <v>0.5901130508115499</v>
      </c>
      <c r="H2810" t="n">
        <v>0.0128711213212118</v>
      </c>
      <c r="I2810" t="n">
        <v>0.3843333838446286</v>
      </c>
      <c r="J2810" t="n">
        <v>0.0050624826151008</v>
      </c>
      <c r="K2810" t="n">
        <v>0.6860932978939813</v>
      </c>
      <c r="L2810" t="b">
        <v>0</v>
      </c>
      <c r="M2810" t="b">
        <v>0</v>
      </c>
      <c r="N2810" t="inlineStr">
        <is>
          <t>alt</t>
        </is>
      </c>
      <c r="O2810" t="n">
        <v>-95</v>
      </c>
      <c r="P2810" t="n">
        <v>0.002386</v>
      </c>
      <c r="Q2810" t="n">
        <v>95</v>
      </c>
      <c r="R2810" t="n">
        <v>0.05286</v>
      </c>
      <c r="S2810">
        <f>IMAGE("https://mitra.stanford.edu/kundaje/oak/projects/neuro-variants/variant_position/credible/roussos_2024/variant_figures/roussos_2024.childhood.GLU/rs4586823_count_position.png",4,220,900)</f>
        <v/>
      </c>
      <c r="T2810">
        <f>IMAGE("https://mitra.stanford.edu/kundaje/oak/projects/neuro-variants/variant_position/credible/roussos_2024/variant_figures/roussos_2024.childhood.GLU/rs4586823_profile_position.png",4,220,900)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-0.0459462724</v>
      </c>
      <c r="G2811" t="n">
        <v>0.2030923316578312</v>
      </c>
      <c r="H2811" t="n">
        <v>0.010774692059341</v>
      </c>
      <c r="I2811" t="n">
        <v>0.5756803361260477</v>
      </c>
      <c r="J2811" t="n">
        <v>0.0158107286719481</v>
      </c>
      <c r="K2811" t="n">
        <v>0.5228690402151792</v>
      </c>
      <c r="L2811" t="b">
        <v>0</v>
      </c>
      <c r="M2811" t="b">
        <v>0</v>
      </c>
      <c r="N2811" t="inlineStr">
        <is>
          <t>ref</t>
        </is>
      </c>
      <c r="O2811" t="n">
        <v>100</v>
      </c>
      <c r="P2811" t="n">
        <v>0.03632</v>
      </c>
      <c r="Q2811" t="n">
        <v>100</v>
      </c>
      <c r="R2811" t="n">
        <v>0.05637</v>
      </c>
      <c r="S2811">
        <f>IMAGE("https://mitra.stanford.edu/kundaje/oak/projects/neuro-variants/variant_position/credible/roussos_2024/variant_figures/roussos_2024.childhood.GLU/rs7615033_count_position.png",4,220,900)</f>
        <v/>
      </c>
      <c r="T2811">
        <f>IMAGE("https://mitra.stanford.edu/kundaje/oak/projects/neuro-variants/variant_position/credible/roussos_2024/variant_figures/roussos_2024.childhood.GLU/rs7615033_profile_position.png",4,220,900)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0.00618946752</v>
      </c>
      <c r="G2812" t="n">
        <v>0.6529096333243118</v>
      </c>
      <c r="H2812" t="n">
        <v>0.0096160022354051</v>
      </c>
      <c r="I2812" t="n">
        <v>0.7012504091338401</v>
      </c>
      <c r="J2812" t="n">
        <v>0.0165184872304696</v>
      </c>
      <c r="K2812" t="n">
        <v>0.516974211763211</v>
      </c>
      <c r="L2812" t="b">
        <v>0</v>
      </c>
      <c r="M2812" t="b">
        <v>0</v>
      </c>
      <c r="N2812" t="inlineStr">
        <is>
          <t>alt</t>
        </is>
      </c>
      <c r="O2812" t="n">
        <v>100</v>
      </c>
      <c r="P2812" t="n">
        <v>0.03345</v>
      </c>
      <c r="Q2812" t="n">
        <v>95</v>
      </c>
      <c r="R2812" t="n">
        <v>0.0522</v>
      </c>
      <c r="S2812">
        <f>IMAGE("https://mitra.stanford.edu/kundaje/oak/projects/neuro-variants/variant_position/credible/roussos_2024/variant_figures/roussos_2024.childhood.GLU/rs7626556_count_position.png",4,220,900)</f>
        <v/>
      </c>
      <c r="T2812">
        <f>IMAGE("https://mitra.stanford.edu/kundaje/oak/projects/neuro-variants/variant_position/credible/roussos_2024/variant_figures/roussos_2024.childhood.GLU/rs7626556_profile_position.png",4,220,900)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0.01057855368</v>
      </c>
      <c r="G2813" t="n">
        <v>0.6050191214060436</v>
      </c>
      <c r="H2813" t="n">
        <v>0.0151298534830344</v>
      </c>
      <c r="I2813" t="n">
        <v>0.2411863472629126</v>
      </c>
      <c r="J2813" t="n">
        <v>0.0012826192217746</v>
      </c>
      <c r="K2813" t="n">
        <v>0.8121840628163564</v>
      </c>
      <c r="L2813" t="b">
        <v>0</v>
      </c>
      <c r="M2813" t="b">
        <v>0</v>
      </c>
      <c r="N2813" t="inlineStr">
        <is>
          <t>alt</t>
        </is>
      </c>
      <c r="O2813" t="n">
        <v>5</v>
      </c>
      <c r="P2813" t="n">
        <v>0.002007</v>
      </c>
      <c r="Q2813" t="n">
        <v>-90</v>
      </c>
      <c r="R2813" t="n">
        <v>0.1486</v>
      </c>
      <c r="S2813">
        <f>IMAGE("https://mitra.stanford.edu/kundaje/oak/projects/neuro-variants/variant_position/credible/roussos_2024/variant_figures/roussos_2024.childhood.GLU/rs1912454_count_position.png",4,220,900)</f>
        <v/>
      </c>
      <c r="T2813">
        <f>IMAGE("https://mitra.stanford.edu/kundaje/oak/projects/neuro-variants/variant_position/credible/roussos_2024/variant_figures/roussos_2024.childhood.GLU/rs1912454_profile_position.png",4,220,900)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-0.0215589314</v>
      </c>
      <c r="G2814" t="n">
        <v>0.4432941325199528</v>
      </c>
      <c r="H2814" t="n">
        <v>0.0186672329374016</v>
      </c>
      <c r="I2814" t="n">
        <v>0.1238391154078136</v>
      </c>
      <c r="J2814" t="n">
        <v>0.0632820629050037</v>
      </c>
      <c r="K2814" t="n">
        <v>0.3206169358819655</v>
      </c>
      <c r="L2814" t="b">
        <v>0</v>
      </c>
      <c r="M2814" t="b">
        <v>0</v>
      </c>
      <c r="N2814" t="inlineStr">
        <is>
          <t>ref</t>
        </is>
      </c>
      <c r="O2814" t="n">
        <v>-85</v>
      </c>
      <c r="P2814" t="n">
        <v>0.013885</v>
      </c>
      <c r="Q2814" t="n">
        <v>-90</v>
      </c>
      <c r="R2814" t="n">
        <v>0.2018</v>
      </c>
      <c r="S2814">
        <f>IMAGE("https://mitra.stanford.edu/kundaje/oak/projects/neuro-variants/variant_position/credible/roussos_2024/variant_figures/roussos_2024.childhood.GLU/rs28532919_count_position.png",4,220,900)</f>
        <v/>
      </c>
      <c r="T2814">
        <f>IMAGE("https://mitra.stanford.edu/kundaje/oak/projects/neuro-variants/variant_position/credible/roussos_2024/variant_figures/roussos_2024.childhood.GLU/rs28532919_profile_position.png",4,220,900)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0.036094611</v>
      </c>
      <c r="G2815" t="n">
        <v>0.2686893472755464</v>
      </c>
      <c r="H2815" t="n">
        <v>0.0116533572903046</v>
      </c>
      <c r="I2815" t="n">
        <v>0.4862170343946005</v>
      </c>
      <c r="J2815" t="n">
        <v>0.0229336437718276</v>
      </c>
      <c r="K2815" t="n">
        <v>0.4675611537300531</v>
      </c>
      <c r="L2815" t="b">
        <v>0</v>
      </c>
      <c r="M2815" t="b">
        <v>0</v>
      </c>
      <c r="N2815" t="inlineStr">
        <is>
          <t>alt</t>
        </is>
      </c>
      <c r="O2815" t="n">
        <v>-95</v>
      </c>
      <c r="P2815" t="n">
        <v>0.014694</v>
      </c>
      <c r="Q2815" t="n">
        <v>30</v>
      </c>
      <c r="R2815" t="n">
        <v>0.02173</v>
      </c>
      <c r="S2815">
        <f>IMAGE("https://mitra.stanford.edu/kundaje/oak/projects/neuro-variants/variant_position/credible/roussos_2024/variant_figures/roussos_2024.childhood.GLU/rs62280491_count_position.png",4,220,900)</f>
        <v/>
      </c>
      <c r="T2815">
        <f>IMAGE("https://mitra.stanford.edu/kundaje/oak/projects/neuro-variants/variant_position/credible/roussos_2024/variant_figures/roussos_2024.childhood.GLU/rs62280491_profile_position.png",4,220,900)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0.0393787987999999</v>
      </c>
      <c r="G2816" t="n">
        <v>0.2429556355653076</v>
      </c>
      <c r="H2816" t="n">
        <v>0.011395278615943</v>
      </c>
      <c r="I2816" t="n">
        <v>0.5130934744772343</v>
      </c>
      <c r="J2816" t="n">
        <v>0.0025281506588232</v>
      </c>
      <c r="K2816" t="n">
        <v>0.7547171561938524</v>
      </c>
      <c r="L2816" t="b">
        <v>0</v>
      </c>
      <c r="M2816" t="b">
        <v>0</v>
      </c>
      <c r="N2816" t="inlineStr">
        <is>
          <t>alt</t>
        </is>
      </c>
      <c r="O2816" t="n">
        <v>95</v>
      </c>
      <c r="P2816" t="n">
        <v>0.01341</v>
      </c>
      <c r="Q2816" t="n">
        <v>-95</v>
      </c>
      <c r="R2816" t="n">
        <v>0.1043</v>
      </c>
      <c r="S2816">
        <f>IMAGE("https://mitra.stanford.edu/kundaje/oak/projects/neuro-variants/variant_position/credible/roussos_2024/variant_figures/roussos_2024.childhood.GLU/rs56315604_count_position.png",4,220,900)</f>
        <v/>
      </c>
      <c r="T2816">
        <f>IMAGE("https://mitra.stanford.edu/kundaje/oak/projects/neuro-variants/variant_position/credible/roussos_2024/variant_figures/roussos_2024.childhood.GLU/rs56315604_profile_position.png",4,220,900)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-0.040459801</v>
      </c>
      <c r="G2817" t="n">
        <v>0.2626978970542031</v>
      </c>
      <c r="H2817" t="n">
        <v>0.0112914006766215</v>
      </c>
      <c r="I2817" t="n">
        <v>0.526917833920776</v>
      </c>
      <c r="J2817" t="n">
        <v>0.0006727312062801</v>
      </c>
      <c r="K2817" t="n">
        <v>0.8745848515619677</v>
      </c>
      <c r="L2817" t="b">
        <v>0</v>
      </c>
      <c r="M2817" t="b">
        <v>0</v>
      </c>
      <c r="N2817" t="inlineStr">
        <is>
          <t>ref</t>
        </is>
      </c>
      <c r="O2817" t="n">
        <v>-30</v>
      </c>
      <c r="P2817" t="n">
        <v>0.00293</v>
      </c>
      <c r="Q2817" t="n">
        <v>-30</v>
      </c>
      <c r="R2817" t="n">
        <v>0.05884</v>
      </c>
      <c r="S2817">
        <f>IMAGE("https://mitra.stanford.edu/kundaje/oak/projects/neuro-variants/variant_position/credible/roussos_2024/variant_figures/roussos_2024.childhood.GLU/rs1397242_count_position.png",4,220,900)</f>
        <v/>
      </c>
      <c r="T2817">
        <f>IMAGE("https://mitra.stanford.edu/kundaje/oak/projects/neuro-variants/variant_position/credible/roussos_2024/variant_figures/roussos_2024.childhood.GLU/rs1397242_profile_position.png",4,220,900)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-0.056076526</v>
      </c>
      <c r="G2818" t="n">
        <v>0.1533818456563117</v>
      </c>
      <c r="H2818" t="n">
        <v>0.0398346589955737</v>
      </c>
      <c r="I2818" t="n">
        <v>0.0066450159771683</v>
      </c>
      <c r="J2818" t="n">
        <v>0.002450884440644</v>
      </c>
      <c r="K2818" t="n">
        <v>0.7599272260585658</v>
      </c>
      <c r="L2818" t="b">
        <v>0</v>
      </c>
      <c r="M2818" t="b">
        <v>0</v>
      </c>
      <c r="N2818" t="inlineStr">
        <is>
          <t>ref</t>
        </is>
      </c>
      <c r="O2818" t="n">
        <v>95</v>
      </c>
      <c r="P2818" t="n">
        <v>0.014336</v>
      </c>
      <c r="Q2818" t="n">
        <v>-90</v>
      </c>
      <c r="R2818" t="n">
        <v>0.07000000000000001</v>
      </c>
      <c r="S2818">
        <f>IMAGE("https://mitra.stanford.edu/kundaje/oak/projects/neuro-variants/variant_position/credible/roussos_2024/variant_figures/roussos_2024.childhood.GLU/rs13100661_count_position.png",4,220,900)</f>
        <v/>
      </c>
      <c r="T2818">
        <f>IMAGE("https://mitra.stanford.edu/kundaje/oak/projects/neuro-variants/variant_position/credible/roussos_2024/variant_figures/roussos_2024.childhood.GLU/rs13100661_profile_position.png",4,220,900)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-0.0001852043999999</v>
      </c>
      <c r="G2819" t="n">
        <v>0.0525395090605859</v>
      </c>
      <c r="H2819" t="n">
        <v>0.0167659819499516</v>
      </c>
      <c r="I2819" t="n">
        <v>0.1907095905386459</v>
      </c>
      <c r="J2819" t="n">
        <v>0.0961181451986771</v>
      </c>
      <c r="K2819" t="n">
        <v>0.2717866713376231</v>
      </c>
      <c r="L2819" t="b">
        <v>0</v>
      </c>
      <c r="M2819" t="b">
        <v>0</v>
      </c>
      <c r="N2819" t="inlineStr">
        <is>
          <t>ref</t>
        </is>
      </c>
      <c r="O2819" t="n">
        <v>100</v>
      </c>
      <c r="P2819" t="n">
        <v>0.000862</v>
      </c>
      <c r="Q2819" t="n">
        <v>-5</v>
      </c>
      <c r="R2819" t="n">
        <v>0.002197</v>
      </c>
      <c r="S2819">
        <f>IMAGE("https://mitra.stanford.edu/kundaje/oak/projects/neuro-variants/variant_position/credible/roussos_2024/variant_figures/roussos_2024.childhood.GLU/rs6791872_count_position.png",4,220,900)</f>
        <v/>
      </c>
      <c r="T2819">
        <f>IMAGE("https://mitra.stanford.edu/kundaje/oak/projects/neuro-variants/variant_position/credible/roussos_2024/variant_figures/roussos_2024.childhood.GLU/rs6791872_profile_position.png",4,220,900)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0.0394922317999999</v>
      </c>
      <c r="G2820" t="n">
        <v>0.2473817287685791</v>
      </c>
      <c r="H2820" t="n">
        <v>0.0139369088929074</v>
      </c>
      <c r="I2820" t="n">
        <v>0.3113273858099331</v>
      </c>
      <c r="J2820" t="n">
        <v>0.0780862703081376</v>
      </c>
      <c r="K2820" t="n">
        <v>0.2997998999181922</v>
      </c>
      <c r="L2820" t="b">
        <v>0</v>
      </c>
      <c r="M2820" t="b">
        <v>0</v>
      </c>
      <c r="N2820" t="inlineStr">
        <is>
          <t>alt</t>
        </is>
      </c>
      <c r="O2820" t="n">
        <v>40</v>
      </c>
      <c r="P2820" t="n">
        <v>0.006367</v>
      </c>
      <c r="Q2820" t="n">
        <v>-80</v>
      </c>
      <c r="R2820" t="n">
        <v>0.126</v>
      </c>
      <c r="S2820">
        <f>IMAGE("https://mitra.stanford.edu/kundaje/oak/projects/neuro-variants/variant_position/credible/roussos_2024/variant_figures/roussos_2024.childhood.GLU/rs6779000_count_position.png",4,220,900)</f>
        <v/>
      </c>
      <c r="T2820">
        <f>IMAGE("https://mitra.stanford.edu/kundaje/oak/projects/neuro-variants/variant_position/credible/roussos_2024/variant_figures/roussos_2024.childhood.GLU/rs6779000_profile_position.png",4,220,900)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0.0108448122</v>
      </c>
      <c r="G2821" t="n">
        <v>0.417246528168447</v>
      </c>
      <c r="H2821" t="n">
        <v>0.0215096450928309</v>
      </c>
      <c r="I2821" t="n">
        <v>0.0761630535910757</v>
      </c>
      <c r="J2821" t="n">
        <v>0.0325785282330761</v>
      </c>
      <c r="K2821" t="n">
        <v>0.4178783128584014</v>
      </c>
      <c r="L2821" t="b">
        <v>0</v>
      </c>
      <c r="M2821" t="b">
        <v>0</v>
      </c>
      <c r="N2821" t="inlineStr">
        <is>
          <t>alt</t>
        </is>
      </c>
      <c r="O2821" t="n">
        <v>-20</v>
      </c>
      <c r="P2821" t="n">
        <v>0.001051</v>
      </c>
      <c r="Q2821" t="n">
        <v>-100</v>
      </c>
      <c r="R2821" t="n">
        <v>0.1099</v>
      </c>
      <c r="S2821">
        <f>IMAGE("https://mitra.stanford.edu/kundaje/oak/projects/neuro-variants/variant_position/credible/roussos_2024/variant_figures/roussos_2024.childhood.GLU/rs35298688_count_position.png",4,220,900)</f>
        <v/>
      </c>
      <c r="T2821">
        <f>IMAGE("https://mitra.stanford.edu/kundaje/oak/projects/neuro-variants/variant_position/credible/roussos_2024/variant_figures/roussos_2024.childhood.GLU/rs35298688_profile_position.png",4,220,900)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0.1534116992</v>
      </c>
      <c r="G2822" t="n">
        <v>0.0159851585489765</v>
      </c>
      <c r="H2822" t="n">
        <v>0.0145659279147151</v>
      </c>
      <c r="I2822" t="n">
        <v>0.2642244931161905</v>
      </c>
      <c r="J2822" t="n">
        <v>0.08052582237011539</v>
      </c>
      <c r="K2822" t="n">
        <v>0.2850980247703449</v>
      </c>
      <c r="L2822" t="b">
        <v>1</v>
      </c>
      <c r="M2822" t="b">
        <v>0</v>
      </c>
      <c r="N2822" t="inlineStr">
        <is>
          <t>alt</t>
        </is>
      </c>
      <c r="O2822" t="n">
        <v>80</v>
      </c>
      <c r="P2822" t="n">
        <v>0.002926</v>
      </c>
      <c r="Q2822" t="n">
        <v>-90</v>
      </c>
      <c r="R2822" t="n">
        <v>0.0327</v>
      </c>
      <c r="S2822">
        <f>IMAGE("https://mitra.stanford.edu/kundaje/oak/projects/neuro-variants/variant_position/credible/roussos_2024/variant_figures/roussos_2024.childhood.GLU/rs6800277_count_position.png",4,220,900)</f>
        <v/>
      </c>
      <c r="T2822">
        <f>IMAGE("https://mitra.stanford.edu/kundaje/oak/projects/neuro-variants/variant_position/credible/roussos_2024/variant_figures/roussos_2024.childhood.GLU/rs6800277_profile_position.png",4,220,900)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-0.09845580279999989</v>
      </c>
      <c r="G2823" t="n">
        <v>0.0485834926510609</v>
      </c>
      <c r="H2823" t="n">
        <v>0.0148397345916587</v>
      </c>
      <c r="I2823" t="n">
        <v>0.2556463800707959</v>
      </c>
      <c r="J2823" t="n">
        <v>0.1061122729660955</v>
      </c>
      <c r="K2823" t="n">
        <v>0.2426221352024956</v>
      </c>
      <c r="L2823" t="b">
        <v>0</v>
      </c>
      <c r="M2823" t="b">
        <v>0</v>
      </c>
      <c r="N2823" t="inlineStr">
        <is>
          <t>ref</t>
        </is>
      </c>
      <c r="O2823" t="n">
        <v>55</v>
      </c>
      <c r="P2823" t="n">
        <v>0.010574</v>
      </c>
      <c r="Q2823" t="n">
        <v>-45</v>
      </c>
      <c r="R2823" t="n">
        <v>0.0232</v>
      </c>
      <c r="S2823">
        <f>IMAGE("https://mitra.stanford.edu/kundaje/oak/projects/neuro-variants/variant_position/credible/roussos_2024/variant_figures/roussos_2024.childhood.GLU/rs12637049_count_position.png",4,220,900)</f>
        <v/>
      </c>
      <c r="T2823">
        <f>IMAGE("https://mitra.stanford.edu/kundaje/oak/projects/neuro-variants/variant_position/credible/roussos_2024/variant_figures/roussos_2024.childhood.GLU/rs12637049_profile_position.png",4,220,900)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0.0340599852</v>
      </c>
      <c r="G2824" t="n">
        <v>0.2815670831440202</v>
      </c>
      <c r="H2824" t="n">
        <v>0.0126470068790517</v>
      </c>
      <c r="I2824" t="n">
        <v>0.3980327394397243</v>
      </c>
      <c r="J2824" t="n">
        <v>0.0267052654352147</v>
      </c>
      <c r="K2824" t="n">
        <v>0.4651645000280643</v>
      </c>
      <c r="L2824" t="b">
        <v>0</v>
      </c>
      <c r="M2824" t="b">
        <v>0</v>
      </c>
      <c r="N2824" t="inlineStr">
        <is>
          <t>alt</t>
        </is>
      </c>
      <c r="O2824" t="n">
        <v>0</v>
      </c>
      <c r="P2824" t="n">
        <v>0</v>
      </c>
      <c r="Q2824" t="n">
        <v>-45</v>
      </c>
      <c r="R2824" t="n">
        <v>0.04102</v>
      </c>
      <c r="S2824">
        <f>IMAGE("https://mitra.stanford.edu/kundaje/oak/projects/neuro-variants/variant_position/credible/roussos_2024/variant_figures/roussos_2024.childhood.GLU/rs61342226_count_position.png",4,220,900)</f>
        <v/>
      </c>
      <c r="T2824">
        <f>IMAGE("https://mitra.stanford.edu/kundaje/oak/projects/neuro-variants/variant_position/credible/roussos_2024/variant_figures/roussos_2024.childhood.GLU/rs61342226_profile_position.png",4,220,900)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-0.06876744279999999</v>
      </c>
      <c r="G2825" t="n">
        <v>0.1117184797250655</v>
      </c>
      <c r="H2825" t="n">
        <v>0.0168172517699484</v>
      </c>
      <c r="I2825" t="n">
        <v>0.1761360218045513</v>
      </c>
      <c r="J2825" t="n">
        <v>0.031252639929121</v>
      </c>
      <c r="K2825" t="n">
        <v>0.4437869336964042</v>
      </c>
      <c r="L2825" t="b">
        <v>0</v>
      </c>
      <c r="M2825" t="b">
        <v>0</v>
      </c>
      <c r="N2825" t="inlineStr">
        <is>
          <t>ref</t>
        </is>
      </c>
      <c r="O2825" t="n">
        <v>75</v>
      </c>
      <c r="P2825" t="n">
        <v>0.007095</v>
      </c>
      <c r="Q2825" t="n">
        <v>95</v>
      </c>
      <c r="R2825" t="n">
        <v>0.07837</v>
      </c>
      <c r="S2825">
        <f>IMAGE("https://mitra.stanford.edu/kundaje/oak/projects/neuro-variants/variant_position/credible/roussos_2024/variant_figures/roussos_2024.childhood.GLU/rs34809784_count_position.png",4,220,900)</f>
        <v/>
      </c>
      <c r="T2825">
        <f>IMAGE("https://mitra.stanford.edu/kundaje/oak/projects/neuro-variants/variant_position/credible/roussos_2024/variant_figures/roussos_2024.childhood.GLU/rs34809784_profile_position.png",4,220,900)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-0.0271422014</v>
      </c>
      <c r="G2826" t="n">
        <v>0.3877176240514199</v>
      </c>
      <c r="H2826" t="n">
        <v>0.0272556641167349</v>
      </c>
      <c r="I2826" t="n">
        <v>0.0316296903311701</v>
      </c>
      <c r="J2826" t="n">
        <v>0.0006902448824007</v>
      </c>
      <c r="K2826" t="n">
        <v>0.8499614895878027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0.0387</v>
      </c>
      <c r="Q2826" t="n">
        <v>45</v>
      </c>
      <c r="R2826" t="n">
        <v>0.1384</v>
      </c>
      <c r="S2826">
        <f>IMAGE("https://mitra.stanford.edu/kundaje/oak/projects/neuro-variants/variant_position/credible/roussos_2024/variant_figures/roussos_2024.childhood.GLU/rs13098556_count_position.png",4,220,900)</f>
        <v/>
      </c>
      <c r="T2826">
        <f>IMAGE("https://mitra.stanford.edu/kundaje/oak/projects/neuro-variants/variant_position/credible/roussos_2024/variant_figures/roussos_2024.childhood.GLU/rs13098556_profile_position.png",4,220,900)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0.08747844239999999</v>
      </c>
      <c r="G2827" t="n">
        <v>0.0615395663321282</v>
      </c>
      <c r="H2827" t="n">
        <v>0.0223313685904776</v>
      </c>
      <c r="I2827" t="n">
        <v>0.0663261616896199</v>
      </c>
      <c r="J2827" t="n">
        <v>0.0136709695365056</v>
      </c>
      <c r="K2827" t="n">
        <v>0.5422713606435899</v>
      </c>
      <c r="L2827" t="b">
        <v>0</v>
      </c>
      <c r="M2827" t="b">
        <v>0</v>
      </c>
      <c r="N2827" t="inlineStr">
        <is>
          <t>alt</t>
        </is>
      </c>
      <c r="O2827" t="n">
        <v>-65</v>
      </c>
      <c r="P2827" t="n">
        <v>0.03473</v>
      </c>
      <c r="Q2827" t="n">
        <v>-65</v>
      </c>
      <c r="R2827" t="n">
        <v>0.1299</v>
      </c>
      <c r="S2827">
        <f>IMAGE("https://mitra.stanford.edu/kundaje/oak/projects/neuro-variants/variant_position/credible/roussos_2024/variant_figures/roussos_2024.childhood.GLU/rs12629678_count_position.png",4,220,900)</f>
        <v/>
      </c>
      <c r="T2827">
        <f>IMAGE("https://mitra.stanford.edu/kundaje/oak/projects/neuro-variants/variant_position/credible/roussos_2024/variant_figures/roussos_2024.childhood.GLU/rs12629678_profile_position.png",4,220,900)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-0.0743163392</v>
      </c>
      <c r="G2828" t="n">
        <v>0.08915898082726841</v>
      </c>
      <c r="H2828" t="n">
        <v>0.011485865056056</v>
      </c>
      <c r="I2828" t="n">
        <v>0.4882009537116528</v>
      </c>
      <c r="J2828" t="n">
        <v>0.0205795996579681</v>
      </c>
      <c r="K2828" t="n">
        <v>0.4937659843227195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0.00654</v>
      </c>
      <c r="Q2828" t="n">
        <v>85</v>
      </c>
      <c r="R2828" t="n">
        <v>0.03784</v>
      </c>
      <c r="S2828">
        <f>IMAGE("https://mitra.stanford.edu/kundaje/oak/projects/neuro-variants/variant_position/credible/roussos_2024/variant_figures/roussos_2024.childhood.GLU/rs13090291_count_position.png",4,220,900)</f>
        <v/>
      </c>
      <c r="T2828">
        <f>IMAGE("https://mitra.stanford.edu/kundaje/oak/projects/neuro-variants/variant_position/credible/roussos_2024/variant_figures/roussos_2024.childhood.GLU/rs13090291_profile_position.png",4,220,900)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0.0283383341</v>
      </c>
      <c r="G2829" t="n">
        <v>0.3381169773193598</v>
      </c>
      <c r="H2829" t="n">
        <v>0.009529883991770601</v>
      </c>
      <c r="I2829" t="n">
        <v>0.7080975920456861</v>
      </c>
      <c r="J2829" t="n">
        <v>0.025242358371022</v>
      </c>
      <c r="K2829" t="n">
        <v>0.4629252288805373</v>
      </c>
      <c r="L2829" t="b">
        <v>0</v>
      </c>
      <c r="M2829" t="b">
        <v>0</v>
      </c>
      <c r="N2829" t="inlineStr">
        <is>
          <t>alt</t>
        </is>
      </c>
      <c r="O2829" t="n">
        <v>-20</v>
      </c>
      <c r="P2829" t="n">
        <v>0.0007706</v>
      </c>
      <c r="Q2829" t="n">
        <v>15</v>
      </c>
      <c r="R2829" t="n">
        <v>0.010864</v>
      </c>
      <c r="S2829">
        <f>IMAGE("https://mitra.stanford.edu/kundaje/oak/projects/neuro-variants/variant_position/credible/roussos_2024/variant_figures/roussos_2024.childhood.GLU/rs1119975_count_position.png",4,220,900)</f>
        <v/>
      </c>
      <c r="T2829">
        <f>IMAGE("https://mitra.stanford.edu/kundaje/oak/projects/neuro-variants/variant_position/credible/roussos_2024/variant_figures/roussos_2024.childhood.GLU/rs1119975_profile_position.png",4,220,900)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0.08716092</v>
      </c>
      <c r="G2830" t="n">
        <v>0.0629646000747171</v>
      </c>
      <c r="H2830" t="n">
        <v>0.0168779269450664</v>
      </c>
      <c r="I2830" t="n">
        <v>0.1768534680734829</v>
      </c>
      <c r="J2830" t="n">
        <v>0.1396509627370785</v>
      </c>
      <c r="K2830" t="n">
        <v>0.1976494401622864</v>
      </c>
      <c r="L2830" t="b">
        <v>0</v>
      </c>
      <c r="M2830" t="b">
        <v>0</v>
      </c>
      <c r="N2830" t="inlineStr">
        <is>
          <t>alt</t>
        </is>
      </c>
      <c r="O2830" t="n">
        <v>-45</v>
      </c>
      <c r="P2830" t="n">
        <v>0.04688</v>
      </c>
      <c r="Q2830" t="n">
        <v>85</v>
      </c>
      <c r="R2830" t="n">
        <v>0.1956</v>
      </c>
      <c r="S2830">
        <f>IMAGE("https://mitra.stanford.edu/kundaje/oak/projects/neuro-variants/variant_position/credible/roussos_2024/variant_figures/roussos_2024.childhood.GLU/rs35626895_count_position.png",4,220,900)</f>
        <v/>
      </c>
      <c r="T2830">
        <f>IMAGE("https://mitra.stanford.edu/kundaje/oak/projects/neuro-variants/variant_position/credible/roussos_2024/variant_figures/roussos_2024.childhood.GLU/rs35626895_profile_position.png",4,220,900)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0.004851186132</v>
      </c>
      <c r="G2831" t="n">
        <v>0.8068129356631474</v>
      </c>
      <c r="H2831" t="n">
        <v>0.0152694616870666</v>
      </c>
      <c r="I2831" t="n">
        <v>0.2383205257626237</v>
      </c>
      <c r="J2831" t="n">
        <v>0.07532735121101911</v>
      </c>
      <c r="K2831" t="n">
        <v>0.2853380952926519</v>
      </c>
      <c r="L2831" t="b">
        <v>0</v>
      </c>
      <c r="M2831" t="b">
        <v>0</v>
      </c>
      <c r="N2831" t="inlineStr">
        <is>
          <t>alt</t>
        </is>
      </c>
      <c r="O2831" t="n">
        <v>-95</v>
      </c>
      <c r="P2831" t="n">
        <v>0.01398</v>
      </c>
      <c r="Q2831" t="n">
        <v>10</v>
      </c>
      <c r="R2831" t="n">
        <v>0.02766</v>
      </c>
      <c r="S2831">
        <f>IMAGE("https://mitra.stanford.edu/kundaje/oak/projects/neuro-variants/variant_position/credible/roussos_2024/variant_figures/roussos_2024.childhood.GLU/rs871932_count_position.png",4,220,900)</f>
        <v/>
      </c>
      <c r="T2831">
        <f>IMAGE("https://mitra.stanford.edu/kundaje/oak/projects/neuro-variants/variant_position/credible/roussos_2024/variant_figures/roussos_2024.childhood.GLU/rs871932_profile_position.png",4,220,900)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-0.0424886944</v>
      </c>
      <c r="G2832" t="n">
        <v>0.2240508528164213</v>
      </c>
      <c r="H2832" t="n">
        <v>0.011480946956705</v>
      </c>
      <c r="I2832" t="n">
        <v>0.4780378932972883</v>
      </c>
      <c r="J2832" t="n">
        <v>0.0111469397426519</v>
      </c>
      <c r="K2832" t="n">
        <v>0.5860765492997353</v>
      </c>
      <c r="L2832" t="b">
        <v>0</v>
      </c>
      <c r="M2832" t="b">
        <v>0</v>
      </c>
      <c r="N2832" t="inlineStr">
        <is>
          <t>ref</t>
        </is>
      </c>
      <c r="O2832" t="n">
        <v>-25</v>
      </c>
      <c r="P2832" t="n">
        <v>0.000923</v>
      </c>
      <c r="Q2832" t="n">
        <v>-85</v>
      </c>
      <c r="R2832" t="n">
        <v>0.007446</v>
      </c>
      <c r="S2832">
        <f>IMAGE("https://mitra.stanford.edu/kundaje/oak/projects/neuro-variants/variant_position/credible/roussos_2024/variant_figures/roussos_2024.childhood.GLU/rs6804840_count_position.png",4,220,900)</f>
        <v/>
      </c>
      <c r="T2832">
        <f>IMAGE("https://mitra.stanford.edu/kundaje/oak/projects/neuro-variants/variant_position/credible/roussos_2024/variant_figures/roussos_2024.childhood.GLU/rs6804840_profile_position.png",4,220,900)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-0.1045650639999999</v>
      </c>
      <c r="G2833" t="n">
        <v>0.0541988238694042</v>
      </c>
      <c r="H2833" t="n">
        <v>0.0141969694971295</v>
      </c>
      <c r="I2833" t="n">
        <v>0.308980697275316</v>
      </c>
      <c r="J2833" t="n">
        <v>0.0050006696405574</v>
      </c>
      <c r="K2833" t="n">
        <v>0.6831423928223707</v>
      </c>
      <c r="L2833" t="b">
        <v>0</v>
      </c>
      <c r="M2833" t="b">
        <v>0</v>
      </c>
      <c r="N2833" t="inlineStr">
        <is>
          <t>ref</t>
        </is>
      </c>
      <c r="O2833" t="n">
        <v>90</v>
      </c>
      <c r="P2833" t="n">
        <v>0.0238</v>
      </c>
      <c r="Q2833" t="n">
        <v>100</v>
      </c>
      <c r="R2833" t="n">
        <v>0.126</v>
      </c>
      <c r="S2833">
        <f>IMAGE("https://mitra.stanford.edu/kundaje/oak/projects/neuro-variants/variant_position/credible/roussos_2024/variant_figures/roussos_2024.childhood.GLU/rs35797074_count_position.png",4,220,900)</f>
        <v/>
      </c>
      <c r="T2833">
        <f>IMAGE("https://mitra.stanford.edu/kundaje/oak/projects/neuro-variants/variant_position/credible/roussos_2024/variant_figures/roussos_2024.childhood.GLU/rs35797074_profile_position.png",4,220,900)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-0.03145673992</v>
      </c>
      <c r="G2834" t="n">
        <v>0.3364608974262242</v>
      </c>
      <c r="H2834" t="n">
        <v>0.0128132812818449</v>
      </c>
      <c r="I2834" t="n">
        <v>0.381183958509611</v>
      </c>
      <c r="J2834" t="n">
        <v>0.0166524153419802</v>
      </c>
      <c r="K2834" t="n">
        <v>0.5228975768949422</v>
      </c>
      <c r="L2834" t="b">
        <v>0</v>
      </c>
      <c r="M2834" t="b">
        <v>0</v>
      </c>
      <c r="N2834" t="inlineStr">
        <is>
          <t>ref</t>
        </is>
      </c>
      <c r="O2834" t="n">
        <v>100</v>
      </c>
      <c r="P2834" t="n">
        <v>0.008286</v>
      </c>
      <c r="Q2834" t="n">
        <v>-100</v>
      </c>
      <c r="R2834" t="n">
        <v>0.0503</v>
      </c>
      <c r="S2834">
        <f>IMAGE("https://mitra.stanford.edu/kundaje/oak/projects/neuro-variants/variant_position/credible/roussos_2024/variant_figures/roussos_2024.childhood.GLU/rs12638648_count_position.png",4,220,900)</f>
        <v/>
      </c>
      <c r="T2834">
        <f>IMAGE("https://mitra.stanford.edu/kundaje/oak/projects/neuro-variants/variant_position/credible/roussos_2024/variant_figures/roussos_2024.childhood.GLU/rs12638648_profile_position.png",4,220,900)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0.0436990269999999</v>
      </c>
      <c r="G2835" t="n">
        <v>0.2236001689081742</v>
      </c>
      <c r="H2835" t="n">
        <v>0.0432246454423047</v>
      </c>
      <c r="I2835" t="n">
        <v>0.0048824547783497</v>
      </c>
      <c r="J2835" t="n">
        <v>0.027102928904777</v>
      </c>
      <c r="K2835" t="n">
        <v>0.4677511079649784</v>
      </c>
      <c r="L2835" t="b">
        <v>1</v>
      </c>
      <c r="M2835" t="b">
        <v>0</v>
      </c>
      <c r="N2835" t="inlineStr">
        <is>
          <t>alt</t>
        </is>
      </c>
      <c r="O2835" t="n">
        <v>-85</v>
      </c>
      <c r="P2835" t="n">
        <v>0.01346</v>
      </c>
      <c r="Q2835" t="n">
        <v>-10</v>
      </c>
      <c r="R2835" t="n">
        <v>0.04504</v>
      </c>
      <c r="S2835">
        <f>IMAGE("https://mitra.stanford.edu/kundaje/oak/projects/neuro-variants/variant_position/credible/roussos_2024/variant_figures/roussos_2024.childhood.GLU/rs6789240_count_position.png",4,220,900)</f>
        <v/>
      </c>
      <c r="T2835">
        <f>IMAGE("https://mitra.stanford.edu/kundaje/oak/projects/neuro-variants/variant_position/credible/roussos_2024/variant_figures/roussos_2024.childhood.GLU/rs6789240_profile_position.png",4,220,900)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-0.00232706324</v>
      </c>
      <c r="G2836" t="n">
        <v>0.8502043796981493</v>
      </c>
      <c r="H2836" t="n">
        <v>0.0190027546492462</v>
      </c>
      <c r="I2836" t="n">
        <v>0.116891426174481</v>
      </c>
      <c r="J2836" t="n">
        <v>0.0010024004038447</v>
      </c>
      <c r="K2836" t="n">
        <v>0.829805323803067</v>
      </c>
      <c r="L2836" t="b">
        <v>0</v>
      </c>
      <c r="M2836" t="b">
        <v>0</v>
      </c>
      <c r="N2836" t="inlineStr">
        <is>
          <t>ref</t>
        </is>
      </c>
      <c r="O2836" t="n">
        <v>-15</v>
      </c>
      <c r="P2836" t="n">
        <v>0.001418</v>
      </c>
      <c r="Q2836" t="n">
        <v>-65</v>
      </c>
      <c r="R2836" t="n">
        <v>0.08093</v>
      </c>
      <c r="S2836">
        <f>IMAGE("https://mitra.stanford.edu/kundaje/oak/projects/neuro-variants/variant_position/credible/roussos_2024/variant_figures/roussos_2024.childhood.GLU/rs13088846_count_position.png",4,220,900)</f>
        <v/>
      </c>
      <c r="T2836">
        <f>IMAGE("https://mitra.stanford.edu/kundaje/oak/projects/neuro-variants/variant_position/credible/roussos_2024/variant_figures/roussos_2024.childhood.GLU/rs13088846_profile_position.png",4,220,900)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-0.0275247982999999</v>
      </c>
      <c r="G2837" t="n">
        <v>0.3741177644688824</v>
      </c>
      <c r="H2837" t="n">
        <v>0.0146882435086983</v>
      </c>
      <c r="I2837" t="n">
        <v>0.2615886213712852</v>
      </c>
      <c r="J2837" t="n">
        <v>0.0080490795017873</v>
      </c>
      <c r="K2837" t="n">
        <v>0.6117881388959735</v>
      </c>
      <c r="L2837" t="b">
        <v>0</v>
      </c>
      <c r="M2837" t="b">
        <v>0</v>
      </c>
      <c r="N2837" t="inlineStr">
        <is>
          <t>ref</t>
        </is>
      </c>
      <c r="O2837" t="n">
        <v>-90</v>
      </c>
      <c r="P2837" t="n">
        <v>0.006714</v>
      </c>
      <c r="Q2837" t="n">
        <v>75</v>
      </c>
      <c r="R2837" t="n">
        <v>0.11615</v>
      </c>
      <c r="S2837">
        <f>IMAGE("https://mitra.stanford.edu/kundaje/oak/projects/neuro-variants/variant_position/credible/roussos_2024/variant_figures/roussos_2024.childhood.GLU/rs6792256_count_position.png",4,220,900)</f>
        <v/>
      </c>
      <c r="T2837">
        <f>IMAGE("https://mitra.stanford.edu/kundaje/oak/projects/neuro-variants/variant_position/credible/roussos_2024/variant_figures/roussos_2024.childhood.GLU/rs6792256_profile_position.png",4,220,900)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-0.0369115412</v>
      </c>
      <c r="G2838" t="n">
        <v>0.2982646426829212</v>
      </c>
      <c r="H2838" t="n">
        <v>0.0167312641965045</v>
      </c>
      <c r="I2838" t="n">
        <v>0.1861236896314425</v>
      </c>
      <c r="J2838" t="n">
        <v>0.0002534331956277</v>
      </c>
      <c r="K2838" t="n">
        <v>0.9001762669087751</v>
      </c>
      <c r="L2838" t="b">
        <v>0</v>
      </c>
      <c r="M2838" t="b">
        <v>0</v>
      </c>
      <c r="N2838" t="inlineStr">
        <is>
          <t>ref</t>
        </is>
      </c>
      <c r="O2838" t="n">
        <v>5</v>
      </c>
      <c r="P2838" t="n">
        <v>0.000992</v>
      </c>
      <c r="Q2838" t="n">
        <v>-25</v>
      </c>
      <c r="R2838" t="n">
        <v>0.00357</v>
      </c>
      <c r="S2838">
        <f>IMAGE("https://mitra.stanford.edu/kundaje/oak/projects/neuro-variants/variant_position/credible/roussos_2024/variant_figures/roussos_2024.childhood.GLU/rs7612699_count_position.png",4,220,900)</f>
        <v/>
      </c>
      <c r="T2838">
        <f>IMAGE("https://mitra.stanford.edu/kundaje/oak/projects/neuro-variants/variant_position/credible/roussos_2024/variant_figures/roussos_2024.childhood.GLU/rs7612699_profile_position.png",4,220,900)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0.0445557706</v>
      </c>
      <c r="G2839" t="n">
        <v>0.2065235384537408</v>
      </c>
      <c r="H2839" t="n">
        <v>0.009936514738457299</v>
      </c>
      <c r="I2839" t="n">
        <v>0.6640143473883149</v>
      </c>
      <c r="J2839" t="n">
        <v>0.0048811645564403</v>
      </c>
      <c r="K2839" t="n">
        <v>0.6800904871621025</v>
      </c>
      <c r="L2839" t="b">
        <v>0</v>
      </c>
      <c r="M2839" t="b">
        <v>0</v>
      </c>
      <c r="N2839" t="inlineStr">
        <is>
          <t>alt</t>
        </is>
      </c>
      <c r="O2839" t="n">
        <v>0</v>
      </c>
      <c r="P2839" t="n">
        <v>0</v>
      </c>
      <c r="Q2839" t="n">
        <v>35</v>
      </c>
      <c r="R2839" t="n">
        <v>0.05215</v>
      </c>
      <c r="S2839">
        <f>IMAGE("https://mitra.stanford.edu/kundaje/oak/projects/neuro-variants/variant_position/credible/roussos_2024/variant_figures/roussos_2024.childhood.GLU/rs6983_count_position.png",4,220,900)</f>
        <v/>
      </c>
      <c r="T2839">
        <f>IMAGE("https://mitra.stanford.edu/kundaje/oak/projects/neuro-variants/variant_position/credible/roussos_2024/variant_figures/roussos_2024.childhood.GLU/rs6983_profile_position.png",4,220,900)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-0.0705606376</v>
      </c>
      <c r="G2840" t="n">
        <v>0.0950503245872224</v>
      </c>
      <c r="H2840" t="n">
        <v>0.0159337385582245</v>
      </c>
      <c r="I2840" t="n">
        <v>0.2064869049257066</v>
      </c>
      <c r="J2840" t="n">
        <v>0.1223052118639701</v>
      </c>
      <c r="K2840" t="n">
        <v>0.21848305004054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0.10474</v>
      </c>
      <c r="Q2840" t="n">
        <v>-100</v>
      </c>
      <c r="R2840" t="n">
        <v>0.3975</v>
      </c>
      <c r="S2840">
        <f>IMAGE("https://mitra.stanford.edu/kundaje/oak/projects/neuro-variants/variant_position/credible/roussos_2024/variant_figures/roussos_2024.childhood.GLU/rs9825834_count_position.png",4,220,900)</f>
        <v/>
      </c>
      <c r="T2840">
        <f>IMAGE("https://mitra.stanford.edu/kundaje/oak/projects/neuro-variants/variant_position/credible/roussos_2024/variant_figures/roussos_2024.childhood.GLU/rs9825834_profile_position.png",4,220,900)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-0.0078340486599999</v>
      </c>
      <c r="G2841" t="n">
        <v>0.7354415646377217</v>
      </c>
      <c r="H2841" t="n">
        <v>0.0155163499789849</v>
      </c>
      <c r="I2841" t="n">
        <v>0.2340761521497694</v>
      </c>
      <c r="J2841" t="n">
        <v>0.1977221918880772</v>
      </c>
      <c r="K2841" t="n">
        <v>0.149390111794906</v>
      </c>
      <c r="L2841" t="b">
        <v>0</v>
      </c>
      <c r="M2841" t="b">
        <v>0</v>
      </c>
      <c r="N2841" t="inlineStr">
        <is>
          <t>ref</t>
        </is>
      </c>
      <c r="O2841" t="n">
        <v>-75</v>
      </c>
      <c r="P2841" t="n">
        <v>0.02164</v>
      </c>
      <c r="Q2841" t="n">
        <v>-40</v>
      </c>
      <c r="R2841" t="n">
        <v>0.3662</v>
      </c>
      <c r="S2841">
        <f>IMAGE("https://mitra.stanford.edu/kundaje/oak/projects/neuro-variants/variant_position/credible/roussos_2024/variant_figures/roussos_2024.childhood.GLU/rs28649009_count_position.png",4,220,900)</f>
        <v/>
      </c>
      <c r="T2841">
        <f>IMAGE("https://mitra.stanford.edu/kundaje/oak/projects/neuro-variants/variant_position/credible/roussos_2024/variant_figures/roussos_2024.childhood.GLU/rs28649009_profile_position.png",4,220,900)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-0.0141253196</v>
      </c>
      <c r="G2842" t="n">
        <v>0.5719024682143892</v>
      </c>
      <c r="H2842" t="n">
        <v>0.0181119401275232</v>
      </c>
      <c r="I2842" t="n">
        <v>0.1404500074438535</v>
      </c>
      <c r="J2842" t="n">
        <v>0.0007345441808234</v>
      </c>
      <c r="K2842" t="n">
        <v>0.8445465474463919</v>
      </c>
      <c r="L2842" t="b">
        <v>0</v>
      </c>
      <c r="M2842" t="b">
        <v>0</v>
      </c>
      <c r="N2842" t="inlineStr">
        <is>
          <t>ref</t>
        </is>
      </c>
      <c r="O2842" t="n">
        <v>-85</v>
      </c>
      <c r="P2842" t="n">
        <v>0.004433</v>
      </c>
      <c r="Q2842" t="n">
        <v>100</v>
      </c>
      <c r="R2842" t="n">
        <v>0.08513999999999999</v>
      </c>
      <c r="S2842">
        <f>IMAGE("https://mitra.stanford.edu/kundaje/oak/projects/neuro-variants/variant_position/credible/roussos_2024/variant_figures/roussos_2024.childhood.GLU/rs9838212_count_position.png",4,220,900)</f>
        <v/>
      </c>
      <c r="T2842">
        <f>IMAGE("https://mitra.stanford.edu/kundaje/oak/projects/neuro-variants/variant_position/credible/roussos_2024/variant_figures/roussos_2024.childhood.GLU/rs9838212_profile_position.png",4,220,900)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0.0154765216999999</v>
      </c>
      <c r="G2843" t="n">
        <v>0.5337216987303613</v>
      </c>
      <c r="H2843" t="n">
        <v>0.0382429832666514</v>
      </c>
      <c r="I2843" t="n">
        <v>0.0078990732735786</v>
      </c>
      <c r="J2843" t="n">
        <v>0.0238783520660986</v>
      </c>
      <c r="K2843" t="n">
        <v>0.4753778165788598</v>
      </c>
      <c r="L2843" t="b">
        <v>1</v>
      </c>
      <c r="M2843" t="b">
        <v>0</v>
      </c>
      <c r="N2843" t="inlineStr">
        <is>
          <t>alt</t>
        </is>
      </c>
      <c r="O2843" t="n">
        <v>-65</v>
      </c>
      <c r="P2843" t="n">
        <v>0.0047</v>
      </c>
      <c r="Q2843" t="n">
        <v>-65</v>
      </c>
      <c r="R2843" t="n">
        <v>0.1636</v>
      </c>
      <c r="S2843">
        <f>IMAGE("https://mitra.stanford.edu/kundaje/oak/projects/neuro-variants/variant_position/credible/roussos_2024/variant_figures/roussos_2024.childhood.GLU/rs9854353_count_position.png",4,220,900)</f>
        <v/>
      </c>
      <c r="T2843">
        <f>IMAGE("https://mitra.stanford.edu/kundaje/oak/projects/neuro-variants/variant_position/credible/roussos_2024/variant_figures/roussos_2024.childhood.GLU/rs9854353_profile_position.png",4,220,900)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0.004898016996</v>
      </c>
      <c r="G2844" t="n">
        <v>0.7878084908912856</v>
      </c>
      <c r="H2844" t="n">
        <v>0.0195774207706275</v>
      </c>
      <c r="I2844" t="n">
        <v>0.1044123400683982</v>
      </c>
      <c r="J2844" t="n">
        <v>0.0027280126098467</v>
      </c>
      <c r="K2844" t="n">
        <v>0.7446975959012374</v>
      </c>
      <c r="L2844" t="b">
        <v>0</v>
      </c>
      <c r="M2844" t="b">
        <v>0</v>
      </c>
      <c r="N2844" t="inlineStr">
        <is>
          <t>alt</t>
        </is>
      </c>
      <c r="O2844" t="n">
        <v>65</v>
      </c>
      <c r="P2844" t="n">
        <v>0.005173</v>
      </c>
      <c r="Q2844" t="n">
        <v>100</v>
      </c>
      <c r="R2844" t="n">
        <v>0.09030000000000001</v>
      </c>
      <c r="S2844">
        <f>IMAGE("https://mitra.stanford.edu/kundaje/oak/projects/neuro-variants/variant_position/credible/roussos_2024/variant_figures/roussos_2024.childhood.GLU/rs3866226_count_position.png",4,220,900)</f>
        <v/>
      </c>
      <c r="T2844">
        <f>IMAGE("https://mitra.stanford.edu/kundaje/oak/projects/neuro-variants/variant_position/credible/roussos_2024/variant_figures/roussos_2024.childhood.GLU/rs3866226_profile_position.png",4,220,900)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-0.139930644</v>
      </c>
      <c r="G2845" t="n">
        <v>0.0220925953710667</v>
      </c>
      <c r="H2845" t="n">
        <v>0.0197749216486935</v>
      </c>
      <c r="I2845" t="n">
        <v>0.1052597202081925</v>
      </c>
      <c r="J2845" t="n">
        <v>0.1939083313587521</v>
      </c>
      <c r="K2845" t="n">
        <v>0.1552106457222481</v>
      </c>
      <c r="L2845" t="b">
        <v>0</v>
      </c>
      <c r="M2845" t="b">
        <v>0</v>
      </c>
      <c r="N2845" t="inlineStr">
        <is>
          <t>ref</t>
        </is>
      </c>
      <c r="O2845" t="n">
        <v>-55</v>
      </c>
      <c r="P2845" t="n">
        <v>0.001099</v>
      </c>
      <c r="Q2845" t="n">
        <v>0</v>
      </c>
      <c r="R2845" t="n">
        <v>0</v>
      </c>
      <c r="S2845">
        <f>IMAGE("https://mitra.stanford.edu/kundaje/oak/projects/neuro-variants/variant_position/credible/roussos_2024/variant_figures/roussos_2024.childhood.GLU/rs875250_count_position.png",4,220,900)</f>
        <v/>
      </c>
      <c r="T2845">
        <f>IMAGE("https://mitra.stanford.edu/kundaje/oak/projects/neuro-variants/variant_position/credible/roussos_2024/variant_figures/roussos_2024.childhood.GLU/rs875250_profile_position.png",4,220,900)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0.1591339199999999</v>
      </c>
      <c r="G2846" t="n">
        <v>0.0142659410638442</v>
      </c>
      <c r="H2846" t="n">
        <v>0.0211807803268897</v>
      </c>
      <c r="I2846" t="n">
        <v>0.07880093563149709</v>
      </c>
      <c r="J2846" t="n">
        <v>0.1328845024570656</v>
      </c>
      <c r="K2846" t="n">
        <v>0.2118320487431018</v>
      </c>
      <c r="L2846" t="b">
        <v>1</v>
      </c>
      <c r="M2846" t="b">
        <v>0</v>
      </c>
      <c r="N2846" t="inlineStr">
        <is>
          <t>alt</t>
        </is>
      </c>
      <c r="O2846" t="n">
        <v>100</v>
      </c>
      <c r="P2846" t="n">
        <v>0.01016</v>
      </c>
      <c r="Q2846" t="n">
        <v>-80</v>
      </c>
      <c r="R2846" t="n">
        <v>0.0669</v>
      </c>
      <c r="S2846">
        <f>IMAGE("https://mitra.stanford.edu/kundaje/oak/projects/neuro-variants/variant_position/credible/roussos_2024/variant_figures/roussos_2024.childhood.GLU/rs62291400_count_position.png",4,220,900)</f>
        <v/>
      </c>
      <c r="T2846">
        <f>IMAGE("https://mitra.stanford.edu/kundaje/oak/projects/neuro-variants/variant_position/credible/roussos_2024/variant_figures/roussos_2024.childhood.GLU/rs62291400_profile_position.png",4,220,900)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0.098715071</v>
      </c>
      <c r="G2847" t="n">
        <v>0.0560191652178106</v>
      </c>
      <c r="H2847" t="n">
        <v>0.0166656811165324</v>
      </c>
      <c r="I2847" t="n">
        <v>0.179187760227151</v>
      </c>
      <c r="J2847" t="n">
        <v>0.0146362821556244</v>
      </c>
      <c r="K2847" t="n">
        <v>0.5428389949745351</v>
      </c>
      <c r="L2847" t="b">
        <v>0</v>
      </c>
      <c r="M2847" t="b">
        <v>0</v>
      </c>
      <c r="N2847" t="inlineStr">
        <is>
          <t>alt</t>
        </is>
      </c>
      <c r="O2847" t="n">
        <v>50</v>
      </c>
      <c r="P2847" t="n">
        <v>0.01031</v>
      </c>
      <c r="Q2847" t="n">
        <v>100</v>
      </c>
      <c r="R2847" t="n">
        <v>0.0499</v>
      </c>
      <c r="S2847">
        <f>IMAGE("https://mitra.stanford.edu/kundaje/oak/projects/neuro-variants/variant_position/credible/roussos_2024/variant_figures/roussos_2024.childhood.GLU/rs62291403_count_position.png",4,220,900)</f>
        <v/>
      </c>
      <c r="T2847">
        <f>IMAGE("https://mitra.stanford.edu/kundaje/oak/projects/neuro-variants/variant_position/credible/roussos_2024/variant_figures/roussos_2024.childhood.GLU/rs62291403_profile_position.png",4,220,900)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0.0662690512</v>
      </c>
      <c r="G2848" t="n">
        <v>0.1042019222192997</v>
      </c>
      <c r="H2848" t="n">
        <v>0.0169156963293483</v>
      </c>
      <c r="I2848" t="n">
        <v>0.1724428258770129</v>
      </c>
      <c r="J2848" t="n">
        <v>0.0267835618696363</v>
      </c>
      <c r="K2848" t="n">
        <v>0.4594990729777662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0.00461</v>
      </c>
      <c r="Q2848" t="n">
        <v>-55</v>
      </c>
      <c r="R2848" t="n">
        <v>0.02432</v>
      </c>
      <c r="S2848">
        <f>IMAGE("https://mitra.stanford.edu/kundaje/oak/projects/neuro-variants/variant_position/credible/roussos_2024/variant_figures/roussos_2024.childhood.GLU/rs13098541_count_position.png",4,220,900)</f>
        <v/>
      </c>
      <c r="T2848">
        <f>IMAGE("https://mitra.stanford.edu/kundaje/oak/projects/neuro-variants/variant_position/credible/roussos_2024/variant_figures/roussos_2024.childhood.GLU/rs13098541_profile_position.png",4,220,900)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-0.1153559119999999</v>
      </c>
      <c r="G2849" t="n">
        <v>0.0350751858028879</v>
      </c>
      <c r="H2849" t="n">
        <v>0.016024778203744</v>
      </c>
      <c r="I2849" t="n">
        <v>0.2071910543126735</v>
      </c>
      <c r="J2849" t="n">
        <v>0.2800663459260099</v>
      </c>
      <c r="K2849" t="n">
        <v>0.1050879922242708</v>
      </c>
      <c r="L2849" t="b">
        <v>0</v>
      </c>
      <c r="M2849" t="b">
        <v>0</v>
      </c>
      <c r="N2849" t="inlineStr">
        <is>
          <t>ref</t>
        </is>
      </c>
      <c r="O2849" t="n">
        <v>-60</v>
      </c>
      <c r="P2849" t="n">
        <v>0.001923</v>
      </c>
      <c r="Q2849" t="n">
        <v>-50</v>
      </c>
      <c r="R2849" t="n">
        <v>0.04395</v>
      </c>
      <c r="S2849">
        <f>IMAGE("https://mitra.stanford.edu/kundaje/oak/projects/neuro-variants/variant_position/credible/roussos_2024/variant_figures/roussos_2024.childhood.GLU/rs35709455_count_position.png",4,220,900)</f>
        <v/>
      </c>
      <c r="T2849">
        <f>IMAGE("https://mitra.stanford.edu/kundaje/oak/projects/neuro-variants/variant_position/credible/roussos_2024/variant_figures/roussos_2024.childhood.GLU/rs35709455_profile_position.png",4,220,900)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0.0621638779999999</v>
      </c>
      <c r="G2850" t="n">
        <v>0.1213054249824411</v>
      </c>
      <c r="H2850" t="n">
        <v>0.0135510879334848</v>
      </c>
      <c r="I2850" t="n">
        <v>0.3313151241299004</v>
      </c>
      <c r="J2850" t="n">
        <v>0.0055157777617521</v>
      </c>
      <c r="K2850" t="n">
        <v>0.6713021758142865</v>
      </c>
      <c r="L2850" t="b">
        <v>0</v>
      </c>
      <c r="M2850" t="b">
        <v>0</v>
      </c>
      <c r="N2850" t="inlineStr">
        <is>
          <t>alt</t>
        </is>
      </c>
      <c r="O2850" t="n">
        <v>100</v>
      </c>
      <c r="P2850" t="n">
        <v>0.0155</v>
      </c>
      <c r="Q2850" t="n">
        <v>-10</v>
      </c>
      <c r="R2850" t="n">
        <v>0.01819</v>
      </c>
      <c r="S2850">
        <f>IMAGE("https://mitra.stanford.edu/kundaje/oak/projects/neuro-variants/variant_position/credible/roussos_2024/variant_figures/roussos_2024.childhood.GLU/rs7635754_count_position.png",4,220,900)</f>
        <v/>
      </c>
      <c r="T2850">
        <f>IMAGE("https://mitra.stanford.edu/kundaje/oak/projects/neuro-variants/variant_position/credible/roussos_2024/variant_figures/roussos_2024.childhood.GLU/rs7635754_profile_position.png",4,220,900)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0.0538511049999999</v>
      </c>
      <c r="G2851" t="n">
        <v>0.1686961681262108</v>
      </c>
      <c r="H2851" t="n">
        <v>0.0251483939103796</v>
      </c>
      <c r="I2851" t="n">
        <v>0.0466457003034825</v>
      </c>
      <c r="J2851" t="n">
        <v>0.0660069848661233</v>
      </c>
      <c r="K2851" t="n">
        <v>0.3042267541863011</v>
      </c>
      <c r="L2851" t="b">
        <v>0</v>
      </c>
      <c r="M2851" t="b">
        <v>0</v>
      </c>
      <c r="N2851" t="inlineStr">
        <is>
          <t>alt</t>
        </is>
      </c>
      <c r="O2851" t="n">
        <v>-5</v>
      </c>
      <c r="P2851" t="n">
        <v>0.000519</v>
      </c>
      <c r="Q2851" t="n">
        <v>10</v>
      </c>
      <c r="R2851" t="n">
        <v>0.02881</v>
      </c>
      <c r="S2851">
        <f>IMAGE("https://mitra.stanford.edu/kundaje/oak/projects/neuro-variants/variant_position/credible/roussos_2024/variant_figures/roussos_2024.childhood.GLU/rs4854998_count_position.png",4,220,900)</f>
        <v/>
      </c>
      <c r="T2851">
        <f>IMAGE("https://mitra.stanford.edu/kundaje/oak/projects/neuro-variants/variant_position/credible/roussos_2024/variant_figures/roussos_2024.childhood.GLU/rs4854998_profile_position.png",4,220,900)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-0.143796539</v>
      </c>
      <c r="G2852" t="n">
        <v>0.0185807429353361</v>
      </c>
      <c r="H2852" t="n">
        <v>0.0170628098611836</v>
      </c>
      <c r="I2852" t="n">
        <v>0.1650118700578964</v>
      </c>
      <c r="J2852" t="n">
        <v>0.0646460692099271</v>
      </c>
      <c r="K2852" t="n">
        <v>0.3077414066379409</v>
      </c>
      <c r="L2852" t="b">
        <v>1</v>
      </c>
      <c r="M2852" t="b">
        <v>0</v>
      </c>
      <c r="N2852" t="inlineStr">
        <is>
          <t>ref</t>
        </is>
      </c>
      <c r="O2852" t="n">
        <v>40</v>
      </c>
      <c r="P2852" t="n">
        <v>0.01883</v>
      </c>
      <c r="Q2852" t="n">
        <v>100</v>
      </c>
      <c r="R2852" t="n">
        <v>0.05664</v>
      </c>
      <c r="S2852">
        <f>IMAGE("https://mitra.stanford.edu/kundaje/oak/projects/neuro-variants/variant_position/credible/roussos_2024/variant_figures/roussos_2024.childhood.GLU/rs10490806_count_position.png",4,220,900)</f>
        <v/>
      </c>
      <c r="T2852">
        <f>IMAGE("https://mitra.stanford.edu/kundaje/oak/projects/neuro-variants/variant_position/credible/roussos_2024/variant_figures/roussos_2024.childhood.GLU/rs10490806_profile_position.png",4,220,900)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0.0010466261199999</v>
      </c>
      <c r="G2853" t="n">
        <v>0.9351394227459622</v>
      </c>
      <c r="H2853" t="n">
        <v>0.0244915879559877</v>
      </c>
      <c r="I2853" t="n">
        <v>0.0471219781617058</v>
      </c>
      <c r="J2853" t="n">
        <v>0.0155057846642009</v>
      </c>
      <c r="K2853" t="n">
        <v>0.5339949089346766</v>
      </c>
      <c r="L2853" t="b">
        <v>0</v>
      </c>
      <c r="M2853" t="b">
        <v>0</v>
      </c>
      <c r="N2853" t="inlineStr">
        <is>
          <t>alt</t>
        </is>
      </c>
      <c r="O2853" t="n">
        <v>95</v>
      </c>
      <c r="P2853" t="n">
        <v>0.004272</v>
      </c>
      <c r="Q2853" t="n">
        <v>-35</v>
      </c>
      <c r="R2853" t="n">
        <v>0.04193</v>
      </c>
      <c r="S2853">
        <f>IMAGE("https://mitra.stanford.edu/kundaje/oak/projects/neuro-variants/variant_position/credible/roussos_2024/variant_figures/roussos_2024.childhood.GLU/rs13083851_count_position.png",4,220,900)</f>
        <v/>
      </c>
      <c r="T2853">
        <f>IMAGE("https://mitra.stanford.edu/kundaje/oak/projects/neuro-variants/variant_position/credible/roussos_2024/variant_figures/roussos_2024.childhood.GLU/rs13083851_profile_position.png",4,220,900)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-0.1023909602</v>
      </c>
      <c r="G2854" t="n">
        <v>0.0449714854685324</v>
      </c>
      <c r="H2854" t="n">
        <v>0.0399232095971908</v>
      </c>
      <c r="I2854" t="n">
        <v>0.0068122504686511</v>
      </c>
      <c r="J2854" t="n">
        <v>0.0209247220991685</v>
      </c>
      <c r="K2854" t="n">
        <v>0.481796053910081</v>
      </c>
      <c r="L2854" t="b">
        <v>1</v>
      </c>
      <c r="M2854" t="b">
        <v>0</v>
      </c>
      <c r="N2854" t="inlineStr">
        <is>
          <t>ref</t>
        </is>
      </c>
      <c r="O2854" t="n">
        <v>-95</v>
      </c>
      <c r="P2854" t="n">
        <v>0.0009384</v>
      </c>
      <c r="Q2854" t="n">
        <v>-5</v>
      </c>
      <c r="R2854" t="n">
        <v>0.004517</v>
      </c>
      <c r="S2854">
        <f>IMAGE("https://mitra.stanford.edu/kundaje/oak/projects/neuro-variants/variant_position/credible/roussos_2024/variant_figures/roussos_2024.childhood.GLU/rs12186104_count_position.png",4,220,900)</f>
        <v/>
      </c>
      <c r="T2854">
        <f>IMAGE("https://mitra.stanford.edu/kundaje/oak/projects/neuro-variants/variant_position/credible/roussos_2024/variant_figures/roussos_2024.childhood.GLU/rs12186104_profile_position.png",4,220,900)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0.07119775339999999</v>
      </c>
      <c r="G2855" t="n">
        <v>0.08890831939900851</v>
      </c>
      <c r="H2855" t="n">
        <v>0.0213845936453234</v>
      </c>
      <c r="I2855" t="n">
        <v>0.0768703841365605</v>
      </c>
      <c r="J2855" t="n">
        <v>0.1048554091503806</v>
      </c>
      <c r="K2855" t="n">
        <v>0.2447816847403488</v>
      </c>
      <c r="L2855" t="b">
        <v>0</v>
      </c>
      <c r="M2855" t="b">
        <v>0</v>
      </c>
      <c r="N2855" t="inlineStr">
        <is>
          <t>alt</t>
        </is>
      </c>
      <c r="O2855" t="n">
        <v>-100</v>
      </c>
      <c r="P2855" t="n">
        <v>0.004272</v>
      </c>
      <c r="Q2855" t="n">
        <v>-100</v>
      </c>
      <c r="R2855" t="n">
        <v>0.0547</v>
      </c>
      <c r="S2855">
        <f>IMAGE("https://mitra.stanford.edu/kundaje/oak/projects/neuro-variants/variant_position/credible/roussos_2024/variant_figures/roussos_2024.childhood.GLU/rs6777005_count_position.png",4,220,900)</f>
        <v/>
      </c>
      <c r="T2855">
        <f>IMAGE("https://mitra.stanford.edu/kundaje/oak/projects/neuro-variants/variant_position/credible/roussos_2024/variant_figures/roussos_2024.childhood.GLU/rs6777005_profile_position.png",4,220,900)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-0.0263469952</v>
      </c>
      <c r="G2856" t="n">
        <v>0.3842752344261446</v>
      </c>
      <c r="H2856" t="n">
        <v>0.0257359846820246</v>
      </c>
      <c r="I2856" t="n">
        <v>0.0390242938295656</v>
      </c>
      <c r="J2856" t="n">
        <v>0.0188447155057846</v>
      </c>
      <c r="K2856" t="n">
        <v>0.5050513071197174</v>
      </c>
      <c r="L2856" t="b">
        <v>0</v>
      </c>
      <c r="M2856" t="b">
        <v>0</v>
      </c>
      <c r="N2856" t="inlineStr">
        <is>
          <t>ref</t>
        </is>
      </c>
      <c r="O2856" t="n">
        <v>-90</v>
      </c>
      <c r="P2856" t="n">
        <v>0.006977</v>
      </c>
      <c r="Q2856" t="n">
        <v>100</v>
      </c>
      <c r="R2856" t="n">
        <v>0.0551</v>
      </c>
      <c r="S2856">
        <f>IMAGE("https://mitra.stanford.edu/kundaje/oak/projects/neuro-variants/variant_position/credible/roussos_2024/variant_figures/roussos_2024.childhood.GLU/rs62291437_count_position.png",4,220,900)</f>
        <v/>
      </c>
      <c r="T2856">
        <f>IMAGE("https://mitra.stanford.edu/kundaje/oak/projects/neuro-variants/variant_position/credible/roussos_2024/variant_figures/roussos_2024.childhood.GLU/rs62291437_profile_position.png",4,220,900)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0.242034726</v>
      </c>
      <c r="G2857" t="n">
        <v>0.0040921144033608</v>
      </c>
      <c r="H2857" t="n">
        <v>0.0312790769598192</v>
      </c>
      <c r="I2857" t="n">
        <v>0.017695233525157</v>
      </c>
      <c r="J2857" t="n">
        <v>0.0074700979735646</v>
      </c>
      <c r="K2857" t="n">
        <v>0.6394827201295712</v>
      </c>
      <c r="L2857" t="b">
        <v>1</v>
      </c>
      <c r="M2857" t="b">
        <v>1</v>
      </c>
      <c r="N2857" t="inlineStr">
        <is>
          <t>alt</t>
        </is>
      </c>
      <c r="O2857" t="n">
        <v>100</v>
      </c>
      <c r="P2857" t="n">
        <v>0.00771</v>
      </c>
      <c r="Q2857" t="n">
        <v>-50</v>
      </c>
      <c r="R2857" t="n">
        <v>0.01526</v>
      </c>
      <c r="S2857">
        <f>IMAGE("https://mitra.stanford.edu/kundaje/oak/projects/neuro-variants/variant_position/credible/roussos_2024/variant_figures/roussos_2024.childhood.GLU/rs11705702_count_position.png",4,220,900)</f>
        <v/>
      </c>
      <c r="T2857">
        <f>IMAGE("https://mitra.stanford.edu/kundaje/oak/projects/neuro-variants/variant_position/credible/roussos_2024/variant_figures/roussos_2024.childhood.GLU/rs11705702_profile_position.png",4,220,900)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-0.0015887215</v>
      </c>
      <c r="G2858" t="n">
        <v>0.9159389354980376</v>
      </c>
      <c r="H2858" t="n">
        <v>0.0204491737611847</v>
      </c>
      <c r="I2858" t="n">
        <v>0.0929405941141208</v>
      </c>
      <c r="J2858" t="n">
        <v>0.0176908733143086</v>
      </c>
      <c r="K2858" t="n">
        <v>0.5223815092361296</v>
      </c>
      <c r="L2858" t="b">
        <v>0</v>
      </c>
      <c r="M2858" t="b">
        <v>0</v>
      </c>
      <c r="N2858" t="inlineStr">
        <is>
          <t>ref</t>
        </is>
      </c>
      <c r="O2858" t="n">
        <v>100</v>
      </c>
      <c r="P2858" t="n">
        <v>0.003723</v>
      </c>
      <c r="Q2858" t="n">
        <v>-70</v>
      </c>
      <c r="R2858" t="n">
        <v>0.1318</v>
      </c>
      <c r="S2858">
        <f>IMAGE("https://mitra.stanford.edu/kundaje/oak/projects/neuro-variants/variant_position/credible/roussos_2024/variant_figures/roussos_2024.childhood.GLU/rs71312200_count_position.png",4,220,900)</f>
        <v/>
      </c>
      <c r="T2858">
        <f>IMAGE("https://mitra.stanford.edu/kundaje/oak/projects/neuro-variants/variant_position/credible/roussos_2024/variant_figures/roussos_2024.childhood.GLU/rs71312200_profile_position.png",4,220,900)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-0.0139953065999999</v>
      </c>
      <c r="G2859" t="n">
        <v>0.4813426872499416</v>
      </c>
      <c r="H2859" t="n">
        <v>0.0216978146806781</v>
      </c>
      <c r="I2859" t="n">
        <v>0.076492317960293</v>
      </c>
      <c r="J2859" t="n">
        <v>0.0347213780172457</v>
      </c>
      <c r="K2859" t="n">
        <v>0.4338785069796678</v>
      </c>
      <c r="L2859" t="b">
        <v>0</v>
      </c>
      <c r="M2859" t="b">
        <v>0</v>
      </c>
      <c r="N2859" t="inlineStr">
        <is>
          <t>ref</t>
        </is>
      </c>
      <c r="O2859" t="n">
        <v>80</v>
      </c>
      <c r="P2859" t="n">
        <v>0.00464</v>
      </c>
      <c r="Q2859" t="n">
        <v>75</v>
      </c>
      <c r="R2859" t="n">
        <v>0.0907</v>
      </c>
      <c r="S2859">
        <f>IMAGE("https://mitra.stanford.edu/kundaje/oak/projects/neuro-variants/variant_position/credible/roussos_2024/variant_figures/roussos_2024.childhood.GLU/rs34293605_count_position.png",4,220,900)</f>
        <v/>
      </c>
      <c r="T2859">
        <f>IMAGE("https://mitra.stanford.edu/kundaje/oak/projects/neuro-variants/variant_position/credible/roussos_2024/variant_figures/roussos_2024.childhood.GLU/rs34293605_profile_position.png",4,220,900)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0.005745114518</v>
      </c>
      <c r="G2860" t="n">
        <v>0.534087770023289</v>
      </c>
      <c r="H2860" t="n">
        <v>0.0103823103052757</v>
      </c>
      <c r="I2860" t="n">
        <v>0.6053325222889098</v>
      </c>
      <c r="J2860" t="n">
        <v>0.0024838513604004</v>
      </c>
      <c r="K2860" t="n">
        <v>0.7526703930833045</v>
      </c>
      <c r="L2860" t="b">
        <v>0</v>
      </c>
      <c r="M2860" t="b">
        <v>0</v>
      </c>
      <c r="N2860" t="inlineStr">
        <is>
          <t>alt</t>
        </is>
      </c>
      <c r="O2860" t="n">
        <v>100</v>
      </c>
      <c r="P2860" t="n">
        <v>0.0167</v>
      </c>
      <c r="Q2860" t="n">
        <v>35</v>
      </c>
      <c r="R2860" t="n">
        <v>0.0575</v>
      </c>
      <c r="S2860">
        <f>IMAGE("https://mitra.stanford.edu/kundaje/oak/projects/neuro-variants/variant_position/credible/roussos_2024/variant_figures/roussos_2024.childhood.GLU/rs62289571_count_position.png",4,220,900)</f>
        <v/>
      </c>
      <c r="T2860">
        <f>IMAGE("https://mitra.stanford.edu/kundaje/oak/projects/neuro-variants/variant_position/credible/roussos_2024/variant_figures/roussos_2024.childhood.GLU/rs62289571_profile_position.png",4,220,900)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-0.0760225608</v>
      </c>
      <c r="G2861" t="n">
        <v>0.08808231450784069</v>
      </c>
      <c r="H2861" t="n">
        <v>0.0256228212951683</v>
      </c>
      <c r="I2861" t="n">
        <v>0.042090896864791</v>
      </c>
      <c r="J2861" t="n">
        <v>0.0043392708129436</v>
      </c>
      <c r="K2861" t="n">
        <v>0.6925713101579601</v>
      </c>
      <c r="L2861" t="b">
        <v>0</v>
      </c>
      <c r="M2861" t="b">
        <v>0</v>
      </c>
      <c r="N2861" t="inlineStr">
        <is>
          <t>ref</t>
        </is>
      </c>
      <c r="O2861" t="n">
        <v>35</v>
      </c>
      <c r="P2861" t="n">
        <v>0.0321</v>
      </c>
      <c r="Q2861" t="n">
        <v>40</v>
      </c>
      <c r="R2861" t="n">
        <v>0.089</v>
      </c>
      <c r="S2861">
        <f>IMAGE("https://mitra.stanford.edu/kundaje/oak/projects/neuro-variants/variant_position/credible/roussos_2024/variant_figures/roussos_2024.childhood.GLU/rs13060352_count_position.png",4,220,900)</f>
        <v/>
      </c>
      <c r="T2861">
        <f>IMAGE("https://mitra.stanford.edu/kundaje/oak/projects/neuro-variants/variant_position/credible/roussos_2024/variant_figures/roussos_2024.childhood.GLU/rs13060352_profile_position.png",4,220,900)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-0.0280436502</v>
      </c>
      <c r="G2862" t="n">
        <v>0.3787130749102665</v>
      </c>
      <c r="H2862" t="n">
        <v>0.0265196062735843</v>
      </c>
      <c r="I2862" t="n">
        <v>0.0356103142658567</v>
      </c>
      <c r="J2862" t="n">
        <v>0.0527625248539668</v>
      </c>
      <c r="K2862" t="n">
        <v>0.3459661562078904</v>
      </c>
      <c r="L2862" t="b">
        <v>0</v>
      </c>
      <c r="M2862" t="b">
        <v>0</v>
      </c>
      <c r="N2862" t="inlineStr">
        <is>
          <t>ref</t>
        </is>
      </c>
      <c r="O2862" t="n">
        <v>100</v>
      </c>
      <c r="P2862" t="n">
        <v>0.0151</v>
      </c>
      <c r="Q2862" t="n">
        <v>-75</v>
      </c>
      <c r="R2862" t="n">
        <v>0.06710000000000001</v>
      </c>
      <c r="S2862">
        <f>IMAGE("https://mitra.stanford.edu/kundaje/oak/projects/neuro-variants/variant_position/credible/roussos_2024/variant_figures/roussos_2024.childhood.GLU/rs1001416_count_position.png",4,220,900)</f>
        <v/>
      </c>
      <c r="T2862">
        <f>IMAGE("https://mitra.stanford.edu/kundaje/oak/projects/neuro-variants/variant_position/credible/roussos_2024/variant_figures/roussos_2024.childhood.GLU/rs1001416_profile_position.png",4,220,900)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0.0196604467</v>
      </c>
      <c r="G2863" t="n">
        <v>0.4726703426857421</v>
      </c>
      <c r="H2863" t="n">
        <v>0.009768062923888699</v>
      </c>
      <c r="I2863" t="n">
        <v>0.6869656385319607</v>
      </c>
      <c r="J2863" t="n">
        <v>0.0081479802610567</v>
      </c>
      <c r="K2863" t="n">
        <v>0.6200683344739873</v>
      </c>
      <c r="L2863" t="b">
        <v>0</v>
      </c>
      <c r="M2863" t="b">
        <v>0</v>
      </c>
      <c r="N2863" t="inlineStr">
        <is>
          <t>alt</t>
        </is>
      </c>
      <c r="O2863" t="n">
        <v>100</v>
      </c>
      <c r="P2863" t="n">
        <v>0.01347</v>
      </c>
      <c r="Q2863" t="n">
        <v>75</v>
      </c>
      <c r="R2863" t="n">
        <v>0.04602</v>
      </c>
      <c r="S2863">
        <f>IMAGE("https://mitra.stanford.edu/kundaje/oak/projects/neuro-variants/variant_position/credible/roussos_2024/variant_figures/roussos_2024.childhood.GLU/rs6775889_count_position.png",4,220,900)</f>
        <v/>
      </c>
      <c r="T2863">
        <f>IMAGE("https://mitra.stanford.edu/kundaje/oak/projects/neuro-variants/variant_position/credible/roussos_2024/variant_figures/roussos_2024.childhood.GLU/rs6775889_profile_position.png",4,220,900)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-0.117863292</v>
      </c>
      <c r="G2864" t="n">
        <v>0.0316145801058042</v>
      </c>
      <c r="H2864" t="n">
        <v>0.024829368313699</v>
      </c>
      <c r="I2864" t="n">
        <v>0.0459518426075021</v>
      </c>
      <c r="J2864" t="n">
        <v>0.0376008324147238</v>
      </c>
      <c r="K2864" t="n">
        <v>0.398318980148394</v>
      </c>
      <c r="L2864" t="b">
        <v>0</v>
      </c>
      <c r="M2864" t="b">
        <v>0</v>
      </c>
      <c r="N2864" t="inlineStr">
        <is>
          <t>ref</t>
        </is>
      </c>
      <c r="O2864" t="n">
        <v>-55</v>
      </c>
      <c r="P2864" t="n">
        <v>0.001068</v>
      </c>
      <c r="Q2864" t="n">
        <v>-100</v>
      </c>
      <c r="R2864" t="n">
        <v>0.1931</v>
      </c>
      <c r="S2864">
        <f>IMAGE("https://mitra.stanford.edu/kundaje/oak/projects/neuro-variants/variant_position/credible/roussos_2024/variant_figures/roussos_2024.childhood.GLU/rs12635178_count_position.png",4,220,900)</f>
        <v/>
      </c>
      <c r="T2864">
        <f>IMAGE("https://mitra.stanford.edu/kundaje/oak/projects/neuro-variants/variant_position/credible/roussos_2024/variant_figures/roussos_2024.childhood.GLU/rs12635178_profile_position.png",4,220,900)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0.00199340776</v>
      </c>
      <c r="G2865" t="n">
        <v>0.8616267441315704</v>
      </c>
      <c r="H2865" t="n">
        <v>0.0307555433261883</v>
      </c>
      <c r="I2865" t="n">
        <v>0.0192685575926381</v>
      </c>
      <c r="J2865" t="n">
        <v>0.0766923877321849</v>
      </c>
      <c r="K2865" t="n">
        <v>0.2841607280547107</v>
      </c>
      <c r="L2865" t="b">
        <v>1</v>
      </c>
      <c r="M2865" t="b">
        <v>0</v>
      </c>
      <c r="N2865" t="inlineStr">
        <is>
          <t>alt</t>
        </is>
      </c>
      <c r="O2865" t="n">
        <v>-55</v>
      </c>
      <c r="P2865" t="n">
        <v>0.00689</v>
      </c>
      <c r="Q2865" t="n">
        <v>-65</v>
      </c>
      <c r="R2865" t="n">
        <v>0.1078</v>
      </c>
      <c r="S2865">
        <f>IMAGE("https://mitra.stanford.edu/kundaje/oak/projects/neuro-variants/variant_position/credible/roussos_2024/variant_figures/roussos_2024.childhood.GLU/rs1968217_count_position.png",4,220,900)</f>
        <v/>
      </c>
      <c r="T2865">
        <f>IMAGE("https://mitra.stanford.edu/kundaje/oak/projects/neuro-variants/variant_position/credible/roussos_2024/variant_figures/roussos_2024.childhood.GLU/rs1968217_profile_position.png",4,220,900)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0.0315092546</v>
      </c>
      <c r="G2866" t="n">
        <v>0.254049759248159</v>
      </c>
      <c r="H2866" t="n">
        <v>0.0234550240173993</v>
      </c>
      <c r="I2866" t="n">
        <v>0.0617167882328384</v>
      </c>
      <c r="J2866" t="n">
        <v>0.0819969711642473</v>
      </c>
      <c r="K2866" t="n">
        <v>0.2862945982856185</v>
      </c>
      <c r="L2866" t="b">
        <v>0</v>
      </c>
      <c r="M2866" t="b">
        <v>0</v>
      </c>
      <c r="N2866" t="inlineStr">
        <is>
          <t>alt</t>
        </is>
      </c>
      <c r="O2866" t="n">
        <v>-20</v>
      </c>
      <c r="P2866" t="n">
        <v>0.002</v>
      </c>
      <c r="Q2866" t="n">
        <v>70</v>
      </c>
      <c r="R2866" t="n">
        <v>0.1323</v>
      </c>
      <c r="S2866">
        <f>IMAGE("https://mitra.stanford.edu/kundaje/oak/projects/neuro-variants/variant_position/credible/roussos_2024/variant_figures/roussos_2024.childhood.GLU/rs2543163_count_position.png",4,220,900)</f>
        <v/>
      </c>
      <c r="T2866">
        <f>IMAGE("https://mitra.stanford.edu/kundaje/oak/projects/neuro-variants/variant_position/credible/roussos_2024/variant_figures/roussos_2024.childhood.GLU/rs2543163_profile_position.png",4,220,900)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-0.0507961279999999</v>
      </c>
      <c r="G2867" t="n">
        <v>0.1795294148322188</v>
      </c>
      <c r="H2867" t="n">
        <v>0.0112914646828299</v>
      </c>
      <c r="I2867" t="n">
        <v>0.514115670018354</v>
      </c>
      <c r="J2867" t="n">
        <v>0.0038437368003543</v>
      </c>
      <c r="K2867" t="n">
        <v>0.7317590199924786</v>
      </c>
      <c r="L2867" t="b">
        <v>0</v>
      </c>
      <c r="M2867" t="b">
        <v>0</v>
      </c>
      <c r="N2867" t="inlineStr">
        <is>
          <t>ref</t>
        </is>
      </c>
      <c r="O2867" t="n">
        <v>-90</v>
      </c>
      <c r="P2867" t="n">
        <v>0.00592</v>
      </c>
      <c r="Q2867" t="n">
        <v>-95</v>
      </c>
      <c r="R2867" t="n">
        <v>0.1128</v>
      </c>
      <c r="S2867">
        <f>IMAGE("https://mitra.stanford.edu/kundaje/oak/projects/neuro-variants/variant_position/credible/roussos_2024/variant_figures/roussos_2024.childhood.GLU/rs34718862_count_position.png",4,220,900)</f>
        <v/>
      </c>
      <c r="T2867">
        <f>IMAGE("https://mitra.stanford.edu/kundaje/oak/projects/neuro-variants/variant_position/credible/roussos_2024/variant_figures/roussos_2024.childhood.GLU/rs34718862_profile_position.png",4,220,900)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0.0229905986</v>
      </c>
      <c r="G2868" t="n">
        <v>0.4113618652988179</v>
      </c>
      <c r="H2868" t="n">
        <v>0.0226120659084154</v>
      </c>
      <c r="I2868" t="n">
        <v>0.0663491311910025</v>
      </c>
      <c r="J2868" t="n">
        <v>0.0003368807112612</v>
      </c>
      <c r="K2868" t="n">
        <v>0.8935247165779462</v>
      </c>
      <c r="L2868" t="b">
        <v>0</v>
      </c>
      <c r="M2868" t="b">
        <v>0</v>
      </c>
      <c r="N2868" t="inlineStr">
        <is>
          <t>alt</t>
        </is>
      </c>
      <c r="O2868" t="n">
        <v>35</v>
      </c>
      <c r="P2868" t="n">
        <v>0.002441</v>
      </c>
      <c r="Q2868" t="n">
        <v>85</v>
      </c>
      <c r="R2868" t="n">
        <v>0.07729999999999999</v>
      </c>
      <c r="S2868">
        <f>IMAGE("https://mitra.stanford.edu/kundaje/oak/projects/neuro-variants/variant_position/credible/roussos_2024/variant_figures/roussos_2024.childhood.GLU/rs4456860_count_position.png",4,220,900)</f>
        <v/>
      </c>
      <c r="T2868">
        <f>IMAGE("https://mitra.stanford.edu/kundaje/oak/projects/neuro-variants/variant_position/credible/roussos_2024/variant_figures/roussos_2024.childhood.GLU/rs4456860_profile_position.png",4,220,900)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-0.0370534772</v>
      </c>
      <c r="G2869" t="n">
        <v>0.2675865631265253</v>
      </c>
      <c r="H2869" t="n">
        <v>0.0129264099916987</v>
      </c>
      <c r="I2869" t="n">
        <v>0.3749905010294123</v>
      </c>
      <c r="J2869" t="n">
        <v>0.0454345967218518</v>
      </c>
      <c r="K2869" t="n">
        <v>0.3722370316599959</v>
      </c>
      <c r="L2869" t="b">
        <v>0</v>
      </c>
      <c r="M2869" t="b">
        <v>0</v>
      </c>
      <c r="N2869" t="inlineStr">
        <is>
          <t>ref</t>
        </is>
      </c>
      <c r="O2869" t="n">
        <v>-5</v>
      </c>
      <c r="P2869" t="n">
        <v>0.0001984</v>
      </c>
      <c r="Q2869" t="n">
        <v>100</v>
      </c>
      <c r="R2869" t="n">
        <v>0.07214</v>
      </c>
      <c r="S2869">
        <f>IMAGE("https://mitra.stanford.edu/kundaje/oak/projects/neuro-variants/variant_position/credible/roussos_2024/variant_figures/roussos_2024.childhood.GLU/rs13075474_count_position.png",4,220,900)</f>
        <v/>
      </c>
      <c r="T2869">
        <f>IMAGE("https://mitra.stanford.edu/kundaje/oak/projects/neuro-variants/variant_position/credible/roussos_2024/variant_figures/roussos_2024.childhood.GLU/rs13075474_profile_position.png",4,220,900)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-0.29831448</v>
      </c>
      <c r="G2870" t="n">
        <v>0.0022103083208183</v>
      </c>
      <c r="H2870" t="n">
        <v>0.0391158803461762</v>
      </c>
      <c r="I2870" t="n">
        <v>0.0086795253696477</v>
      </c>
      <c r="J2870" t="n">
        <v>0.0556018008179916</v>
      </c>
      <c r="K2870" t="n">
        <v>0.3493128418069554</v>
      </c>
      <c r="L2870" t="b">
        <v>1</v>
      </c>
      <c r="M2870" t="b">
        <v>1</v>
      </c>
      <c r="N2870" t="inlineStr">
        <is>
          <t>ref</t>
        </is>
      </c>
      <c r="O2870" t="n">
        <v>-50</v>
      </c>
      <c r="P2870" t="n">
        <v>0.00421</v>
      </c>
      <c r="Q2870" t="n">
        <v>-50</v>
      </c>
      <c r="R2870" t="n">
        <v>0.05615</v>
      </c>
      <c r="S2870">
        <f>IMAGE("https://mitra.stanford.edu/kundaje/oak/projects/neuro-variants/variant_position/credible/roussos_2024/variant_figures/roussos_2024.childhood.GLU/rs13077643_count_position.png",4,220,900)</f>
        <v/>
      </c>
      <c r="T2870">
        <f>IMAGE("https://mitra.stanford.edu/kundaje/oak/projects/neuro-variants/variant_position/credible/roussos_2024/variant_figures/roussos_2024.childhood.GLU/rs13077643_profile_position.png",4,220,900)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-0.0861103592</v>
      </c>
      <c r="G2871" t="n">
        <v>0.0639094426153816</v>
      </c>
      <c r="H2871" t="n">
        <v>0.0248043890423085</v>
      </c>
      <c r="I2871" t="n">
        <v>0.0449767595291186</v>
      </c>
      <c r="J2871" t="n">
        <v>0.008957730227574699</v>
      </c>
      <c r="K2871" t="n">
        <v>0.6153314212847391</v>
      </c>
      <c r="L2871" t="b">
        <v>0</v>
      </c>
      <c r="M2871" t="b">
        <v>0</v>
      </c>
      <c r="N2871" t="inlineStr">
        <is>
          <t>ref</t>
        </is>
      </c>
      <c r="O2871" t="n">
        <v>90</v>
      </c>
      <c r="P2871" t="n">
        <v>0.005737</v>
      </c>
      <c r="Q2871" t="n">
        <v>95</v>
      </c>
      <c r="R2871" t="n">
        <v>0.1404</v>
      </c>
      <c r="S2871">
        <f>IMAGE("https://mitra.stanford.edu/kundaje/oak/projects/neuro-variants/variant_position/credible/roussos_2024/variant_figures/roussos_2024.childhood.GLU/rs13071279_count_position.png",4,220,900)</f>
        <v/>
      </c>
      <c r="T2871">
        <f>IMAGE("https://mitra.stanford.edu/kundaje/oak/projects/neuro-variants/variant_position/credible/roussos_2024/variant_figures/roussos_2024.childhood.GLU/rs13071279_profile_position.png",4,220,900)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-0.0160843949999999</v>
      </c>
      <c r="G2872" t="n">
        <v>0.537403106937602</v>
      </c>
      <c r="H2872" t="n">
        <v>0.0261107199390106</v>
      </c>
      <c r="I2872" t="n">
        <v>0.03667274080431</v>
      </c>
      <c r="J2872" t="n">
        <v>0.039906456365191</v>
      </c>
      <c r="K2872" t="n">
        <v>0.3914674484342569</v>
      </c>
      <c r="L2872" t="b">
        <v>0</v>
      </c>
      <c r="M2872" t="b">
        <v>0</v>
      </c>
      <c r="N2872" t="inlineStr">
        <is>
          <t>ref</t>
        </is>
      </c>
      <c r="O2872" t="n">
        <v>100</v>
      </c>
      <c r="P2872" t="n">
        <v>0.008156</v>
      </c>
      <c r="Q2872" t="n">
        <v>10</v>
      </c>
      <c r="R2872" t="n">
        <v>0.01941</v>
      </c>
      <c r="S2872">
        <f>IMAGE("https://mitra.stanford.edu/kundaje/oak/projects/neuro-variants/variant_position/credible/roussos_2024/variant_figures/roussos_2024.childhood.GLU/rs13092432_count_position.png",4,220,900)</f>
        <v/>
      </c>
      <c r="T2872">
        <f>IMAGE("https://mitra.stanford.edu/kundaje/oak/projects/neuro-variants/variant_position/credible/roussos_2024/variant_figures/roussos_2024.childhood.GLU/rs13092432_profile_position.png",4,220,900)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0.11278584</v>
      </c>
      <c r="G2873" t="n">
        <v>0.0357114184705938</v>
      </c>
      <c r="H2873" t="n">
        <v>0.0936943779581266</v>
      </c>
      <c r="I2873" t="n">
        <v>0.0002866784582764</v>
      </c>
      <c r="J2873" t="n">
        <v>0.047163299576581</v>
      </c>
      <c r="K2873" t="n">
        <v>0.3581782980378705</v>
      </c>
      <c r="L2873" t="b">
        <v>1</v>
      </c>
      <c r="M2873" t="b">
        <v>0</v>
      </c>
      <c r="N2873" t="inlineStr">
        <is>
          <t>alt</t>
        </is>
      </c>
      <c r="O2873" t="n">
        <v>60</v>
      </c>
      <c r="P2873" t="n">
        <v>0.002312</v>
      </c>
      <c r="Q2873" t="n">
        <v>95</v>
      </c>
      <c r="R2873" t="n">
        <v>0.2474</v>
      </c>
      <c r="S2873">
        <f>IMAGE("https://mitra.stanford.edu/kundaje/oak/projects/neuro-variants/variant_position/credible/roussos_2024/variant_figures/roussos_2024.childhood.GLU/rs12633623_count_position.png",4,220,900)</f>
        <v/>
      </c>
      <c r="T2873">
        <f>IMAGE("https://mitra.stanford.edu/kundaje/oak/projects/neuro-variants/variant_position/credible/roussos_2024/variant_figures/roussos_2024.childhood.GLU/rs12633623_profile_position.png",4,220,900)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-0.00559078726</v>
      </c>
      <c r="G2874" t="n">
        <v>0.8010404578914654</v>
      </c>
      <c r="H2874" t="n">
        <v>0.030510325401882</v>
      </c>
      <c r="I2874" t="n">
        <v>0.0196414843124766</v>
      </c>
      <c r="J2874" t="n">
        <v>0.0101208443652322</v>
      </c>
      <c r="K2874" t="n">
        <v>0.6176797585622856</v>
      </c>
      <c r="L2874" t="b">
        <v>1</v>
      </c>
      <c r="M2874" t="b">
        <v>0</v>
      </c>
      <c r="N2874" t="inlineStr">
        <is>
          <t>ref</t>
        </is>
      </c>
      <c r="O2874" t="n">
        <v>-100</v>
      </c>
      <c r="P2874" t="n">
        <v>0.009415</v>
      </c>
      <c r="Q2874" t="n">
        <v>-100</v>
      </c>
      <c r="R2874" t="n">
        <v>0.249</v>
      </c>
      <c r="S2874">
        <f>IMAGE("https://mitra.stanford.edu/kundaje/oak/projects/neuro-variants/variant_position/credible/roussos_2024/variant_figures/roussos_2024.childhood.GLU/rs74284696_count_position.png",4,220,900)</f>
        <v/>
      </c>
      <c r="T2874">
        <f>IMAGE("https://mitra.stanford.edu/kundaje/oak/projects/neuro-variants/variant_position/credible/roussos_2024/variant_figures/roussos_2024.childhood.GLU/rs74284696_profile_position.png",4,220,900)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-0.2270566939999999</v>
      </c>
      <c r="G2875" t="n">
        <v>0.0051901677645408</v>
      </c>
      <c r="H2875" t="n">
        <v>0.0313857965654126</v>
      </c>
      <c r="I2875" t="n">
        <v>0.0179437232377172</v>
      </c>
      <c r="J2875" t="n">
        <v>0.0094038138605292</v>
      </c>
      <c r="K2875" t="n">
        <v>0.6029679108178212</v>
      </c>
      <c r="L2875" t="b">
        <v>1</v>
      </c>
      <c r="M2875" t="b">
        <v>1</v>
      </c>
      <c r="N2875" t="inlineStr">
        <is>
          <t>ref</t>
        </is>
      </c>
      <c r="O2875" t="n">
        <v>-30</v>
      </c>
      <c r="P2875" t="n">
        <v>0.0009537</v>
      </c>
      <c r="Q2875" t="n">
        <v>-30</v>
      </c>
      <c r="R2875" t="n">
        <v>0.06274</v>
      </c>
      <c r="S2875">
        <f>IMAGE("https://mitra.stanford.edu/kundaje/oak/projects/neuro-variants/variant_position/credible/roussos_2024/variant_figures/roussos_2024.childhood.GLU/rs141717445_count_position.png",4,220,900)</f>
        <v/>
      </c>
      <c r="T2875">
        <f>IMAGE("https://mitra.stanford.edu/kundaje/oak/projects/neuro-variants/variant_position/credible/roussos_2024/variant_figures/roussos_2024.childhood.GLU/rs141717445_profile_position.png",4,220,900)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-0.1030528659999999</v>
      </c>
      <c r="G2876" t="n">
        <v>0.0421422881521853</v>
      </c>
      <c r="H2876" t="n">
        <v>0.0163972840535541</v>
      </c>
      <c r="I2876" t="n">
        <v>0.1883398884990492</v>
      </c>
      <c r="J2876" t="n">
        <v>0.009528470025858399</v>
      </c>
      <c r="K2876" t="n">
        <v>0.5933578849840813</v>
      </c>
      <c r="L2876" t="b">
        <v>0</v>
      </c>
      <c r="M2876" t="b">
        <v>0</v>
      </c>
      <c r="N2876" t="inlineStr">
        <is>
          <t>ref</t>
        </is>
      </c>
      <c r="O2876" t="n">
        <v>-100</v>
      </c>
      <c r="P2876" t="n">
        <v>0.003508</v>
      </c>
      <c r="Q2876" t="n">
        <v>-100</v>
      </c>
      <c r="R2876" t="n">
        <v>0.12054</v>
      </c>
      <c r="S2876">
        <f>IMAGE("https://mitra.stanford.edu/kundaje/oak/projects/neuro-variants/variant_position/credible/roussos_2024/variant_figures/roussos_2024.childhood.GLU/rs13081180_count_position.png",4,220,900)</f>
        <v/>
      </c>
      <c r="T2876">
        <f>IMAGE("https://mitra.stanford.edu/kundaje/oak/projects/neuro-variants/variant_position/credible/roussos_2024/variant_figures/roussos_2024.childhood.GLU/rs13081180_profile_position.png",4,220,900)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0.0153392978</v>
      </c>
      <c r="G2877" t="n">
        <v>0.3541915544069745</v>
      </c>
      <c r="H2877" t="n">
        <v>0.0144178662687913</v>
      </c>
      <c r="I2877" t="n">
        <v>0.2772896104410077</v>
      </c>
      <c r="J2877" t="n">
        <v>0.0028949076411138</v>
      </c>
      <c r="K2877" t="n">
        <v>0.7362126086413425</v>
      </c>
      <c r="L2877" t="b">
        <v>0</v>
      </c>
      <c r="M2877" t="b">
        <v>0</v>
      </c>
      <c r="N2877" t="inlineStr">
        <is>
          <t>alt</t>
        </is>
      </c>
      <c r="O2877" t="n">
        <v>70</v>
      </c>
      <c r="P2877" t="n">
        <v>0.002193</v>
      </c>
      <c r="Q2877" t="n">
        <v>-60</v>
      </c>
      <c r="R2877" t="n">
        <v>0.03467</v>
      </c>
      <c r="S2877">
        <f>IMAGE("https://mitra.stanford.edu/kundaje/oak/projects/neuro-variants/variant_position/credible/roussos_2024/variant_figures/roussos_2024.childhood.GLU/rs10937056_count_position.png",4,220,900)</f>
        <v/>
      </c>
      <c r="T2877">
        <f>IMAGE("https://mitra.stanford.edu/kundaje/oak/projects/neuro-variants/variant_position/credible/roussos_2024/variant_figures/roussos_2024.childhood.GLU/rs10937056_profile_position.png",4,220,900)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0.0015434561</v>
      </c>
      <c r="G2878" t="n">
        <v>0.8760260093350968</v>
      </c>
      <c r="H2878" t="n">
        <v>0.0113293375362151</v>
      </c>
      <c r="I2878" t="n">
        <v>0.5210974169237425</v>
      </c>
      <c r="J2878" t="n">
        <v>0.0020449792411426</v>
      </c>
      <c r="K2878" t="n">
        <v>0.7882586068885526</v>
      </c>
      <c r="L2878" t="b">
        <v>0</v>
      </c>
      <c r="M2878" t="b">
        <v>0</v>
      </c>
      <c r="N2878" t="inlineStr">
        <is>
          <t>alt</t>
        </is>
      </c>
      <c r="O2878" t="n">
        <v>100</v>
      </c>
      <c r="P2878" t="n">
        <v>0.01538</v>
      </c>
      <c r="Q2878" t="n">
        <v>30</v>
      </c>
      <c r="R2878" t="n">
        <v>0.04077</v>
      </c>
      <c r="S2878">
        <f>IMAGE("https://mitra.stanford.edu/kundaje/oak/projects/neuro-variants/variant_position/credible/roussos_2024/variant_figures/roussos_2024.childhood.GLU/rs9816542_count_position.png",4,220,900)</f>
        <v/>
      </c>
      <c r="T2878">
        <f>IMAGE("https://mitra.stanford.edu/kundaje/oak/projects/neuro-variants/variant_position/credible/roussos_2024/variant_figures/roussos_2024.childhood.GLU/rs9816542_profile_position.png",4,220,900)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0.0147352943</v>
      </c>
      <c r="G2879" t="n">
        <v>0.5388883407395675</v>
      </c>
      <c r="H2879" t="n">
        <v>0.027154511745419</v>
      </c>
      <c r="I2879" t="n">
        <v>0.0321133115054807</v>
      </c>
      <c r="J2879" t="n">
        <v>0.0017513676120617</v>
      </c>
      <c r="K2879" t="n">
        <v>0.7749776895229192</v>
      </c>
      <c r="L2879" t="b">
        <v>0</v>
      </c>
      <c r="M2879" t="b">
        <v>0</v>
      </c>
      <c r="N2879" t="inlineStr">
        <is>
          <t>alt</t>
        </is>
      </c>
      <c r="O2879" t="n">
        <v>100</v>
      </c>
      <c r="P2879" t="n">
        <v>0.03644</v>
      </c>
      <c r="Q2879" t="n">
        <v>100</v>
      </c>
      <c r="R2879" t="n">
        <v>0.2173</v>
      </c>
      <c r="S2879">
        <f>IMAGE("https://mitra.stanford.edu/kundaje/oak/projects/neuro-variants/variant_position/credible/roussos_2024/variant_figures/roussos_2024.childhood.GLU/rs6779538_count_position.png",4,220,900)</f>
        <v/>
      </c>
      <c r="T2879">
        <f>IMAGE("https://mitra.stanford.edu/kundaje/oak/projects/neuro-variants/variant_position/credible/roussos_2024/variant_figures/roussos_2024.childhood.GLU/rs6779538_profile_position.png",4,220,900)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-0.01086539112</v>
      </c>
      <c r="G2880" t="n">
        <v>0.6318348636899855</v>
      </c>
      <c r="H2880" t="n">
        <v>0.0277792724460245</v>
      </c>
      <c r="I2880" t="n">
        <v>0.0286926435974985</v>
      </c>
      <c r="J2880" t="n">
        <v>0.0029453882369909</v>
      </c>
      <c r="K2880" t="n">
        <v>0.7303474798969936</v>
      </c>
      <c r="L2880" t="b">
        <v>0</v>
      </c>
      <c r="M2880" t="b">
        <v>0</v>
      </c>
      <c r="N2880" t="inlineStr">
        <is>
          <t>ref</t>
        </is>
      </c>
      <c r="O2880" t="n">
        <v>-50</v>
      </c>
      <c r="P2880" t="n">
        <v>0.01845</v>
      </c>
      <c r="Q2880" t="n">
        <v>40</v>
      </c>
      <c r="R2880" t="n">
        <v>0.0282</v>
      </c>
      <c r="S2880">
        <f>IMAGE("https://mitra.stanford.edu/kundaje/oak/projects/neuro-variants/variant_position/credible/roussos_2024/variant_figures/roussos_2024.childhood.GLU/rs79339987_count_position.png",4,220,900)</f>
        <v/>
      </c>
      <c r="T2880">
        <f>IMAGE("https://mitra.stanford.edu/kundaje/oak/projects/neuro-variants/variant_position/credible/roussos_2024/variant_figures/roussos_2024.childhood.GLU/rs79339987_profile_position.png",4,220,900)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-0.0249733687999999</v>
      </c>
      <c r="G2881" t="n">
        <v>0.3951843029890469</v>
      </c>
      <c r="H2881" t="n">
        <v>0.014873323313217</v>
      </c>
      <c r="I2881" t="n">
        <v>0.2610002580464567</v>
      </c>
      <c r="J2881" t="n">
        <v>0.1913513346451419</v>
      </c>
      <c r="K2881" t="n">
        <v>0.1552886228949292</v>
      </c>
      <c r="L2881" t="b">
        <v>0</v>
      </c>
      <c r="M2881" t="b">
        <v>0</v>
      </c>
      <c r="N2881" t="inlineStr">
        <is>
          <t>ref</t>
        </is>
      </c>
      <c r="O2881" t="n">
        <v>-100</v>
      </c>
      <c r="P2881" t="n">
        <v>0.01573</v>
      </c>
      <c r="Q2881" t="n">
        <v>-55</v>
      </c>
      <c r="R2881" t="n">
        <v>0.1267</v>
      </c>
      <c r="S2881">
        <f>IMAGE("https://mitra.stanford.edu/kundaje/oak/projects/neuro-variants/variant_position/credible/roussos_2024/variant_figures/roussos_2024.childhood.GLU/rs10937057_count_position.png",4,220,900)</f>
        <v/>
      </c>
      <c r="T2881">
        <f>IMAGE("https://mitra.stanford.edu/kundaje/oak/projects/neuro-variants/variant_position/credible/roussos_2024/variant_figures/roussos_2024.childhood.GLU/rs10937057_profile_position.png",4,220,900)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0.1763872434</v>
      </c>
      <c r="G2882" t="n">
        <v>0.0153049823007454</v>
      </c>
      <c r="H2882" t="n">
        <v>0.0241136570096753</v>
      </c>
      <c r="I2882" t="n">
        <v>0.0630743422567016</v>
      </c>
      <c r="J2882" t="n">
        <v>0.0180164216469036</v>
      </c>
      <c r="K2882" t="n">
        <v>0.5329749454446564</v>
      </c>
      <c r="L2882" t="b">
        <v>1</v>
      </c>
      <c r="M2882" t="b">
        <v>0</v>
      </c>
      <c r="N2882" t="inlineStr">
        <is>
          <t>alt</t>
        </is>
      </c>
      <c r="O2882" t="n">
        <v>90</v>
      </c>
      <c r="P2882" t="n">
        <v>0.009480000000000001</v>
      </c>
      <c r="Q2882" t="n">
        <v>0</v>
      </c>
      <c r="R2882" t="n">
        <v>0</v>
      </c>
      <c r="S2882">
        <f>IMAGE("https://mitra.stanford.edu/kundaje/oak/projects/neuro-variants/variant_position/credible/roussos_2024/variant_figures/roussos_2024.childhood.GLU/rs4854918_count_position.png",4,220,900)</f>
        <v/>
      </c>
      <c r="T2882">
        <f>IMAGE("https://mitra.stanford.edu/kundaje/oak/projects/neuro-variants/variant_position/credible/roussos_2024/variant_figures/roussos_2024.childhood.GLU/rs4854918_profile_position.png",4,220,900)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0.0494508279999999</v>
      </c>
      <c r="G2883" t="n">
        <v>0.1769605587754832</v>
      </c>
      <c r="H2883" t="n">
        <v>0.018967726231979</v>
      </c>
      <c r="I2883" t="n">
        <v>0.12221374952323</v>
      </c>
      <c r="J2883" t="n">
        <v>0.005772301606107</v>
      </c>
      <c r="K2883" t="n">
        <v>0.6721084592000048</v>
      </c>
      <c r="L2883" t="b">
        <v>0</v>
      </c>
      <c r="M2883" t="b">
        <v>0</v>
      </c>
      <c r="N2883" t="inlineStr">
        <is>
          <t>alt</t>
        </is>
      </c>
      <c r="O2883" t="n">
        <v>-75</v>
      </c>
      <c r="P2883" t="n">
        <v>0.01369</v>
      </c>
      <c r="Q2883" t="n">
        <v>-60</v>
      </c>
      <c r="R2883" t="n">
        <v>0.1748</v>
      </c>
      <c r="S2883">
        <f>IMAGE("https://mitra.stanford.edu/kundaje/oak/projects/neuro-variants/variant_position/credible/roussos_2024/variant_figures/roussos_2024.childhood.GLU/rs11717567_count_position.png",4,220,900)</f>
        <v/>
      </c>
      <c r="T2883">
        <f>IMAGE("https://mitra.stanford.edu/kundaje/oak/projects/neuro-variants/variant_position/credible/roussos_2024/variant_figures/roussos_2024.childhood.GLU/rs11717567_profile_position.png",4,220,900)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0.0270125716</v>
      </c>
      <c r="G2884" t="n">
        <v>0.3665267034887228</v>
      </c>
      <c r="H2884" t="n">
        <v>0.0273121857920248</v>
      </c>
      <c r="I2884" t="n">
        <v>0.0307939128140913</v>
      </c>
      <c r="J2884" t="n">
        <v>0.0044392017884553</v>
      </c>
      <c r="K2884" t="n">
        <v>0.686881362682715</v>
      </c>
      <c r="L2884" t="b">
        <v>0</v>
      </c>
      <c r="M2884" t="b">
        <v>0</v>
      </c>
      <c r="N2884" t="inlineStr">
        <is>
          <t>alt</t>
        </is>
      </c>
      <c r="O2884" t="n">
        <v>-45</v>
      </c>
      <c r="P2884" t="n">
        <v>0.004684</v>
      </c>
      <c r="Q2884" t="n">
        <v>95</v>
      </c>
      <c r="R2884" t="n">
        <v>0.1198</v>
      </c>
      <c r="S2884">
        <f>IMAGE("https://mitra.stanford.edu/kundaje/oak/projects/neuro-variants/variant_position/credible/roussos_2024/variant_figures/roussos_2024.childhood.GLU/rs11708101_count_position.png",4,220,900)</f>
        <v/>
      </c>
      <c r="T2884">
        <f>IMAGE("https://mitra.stanford.edu/kundaje/oak/projects/neuro-variants/variant_position/credible/roussos_2024/variant_figures/roussos_2024.childhood.GLU/rs11708101_profile_position.png",4,220,900)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-0.127057262</v>
      </c>
      <c r="G2885" t="n">
        <v>0.0262287405983583</v>
      </c>
      <c r="H2885" t="n">
        <v>0.0229725908806035</v>
      </c>
      <c r="I2885" t="n">
        <v>0.0595260577573486</v>
      </c>
      <c r="J2885" t="n">
        <v>0.010652435946305</v>
      </c>
      <c r="K2885" t="n">
        <v>0.5837939685812407</v>
      </c>
      <c r="L2885" t="b">
        <v>0</v>
      </c>
      <c r="M2885" t="b">
        <v>0</v>
      </c>
      <c r="N2885" t="inlineStr">
        <is>
          <t>ref</t>
        </is>
      </c>
      <c r="O2885" t="n">
        <v>100</v>
      </c>
      <c r="P2885" t="n">
        <v>0.004105</v>
      </c>
      <c r="Q2885" t="n">
        <v>75</v>
      </c>
      <c r="R2885" t="n">
        <v>0.08409999999999999</v>
      </c>
      <c r="S2885">
        <f>IMAGE("https://mitra.stanford.edu/kundaje/oak/projects/neuro-variants/variant_position/credible/roussos_2024/variant_figures/roussos_2024.childhood.GLU/rs55844174_count_position.png",4,220,900)</f>
        <v/>
      </c>
      <c r="T2885">
        <f>IMAGE("https://mitra.stanford.edu/kundaje/oak/projects/neuro-variants/variant_position/credible/roussos_2024/variant_figures/roussos_2024.childhood.GLU/rs55844174_profile_position.png",4,220,900)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-0.0278706077999999</v>
      </c>
      <c r="G2886" t="n">
        <v>0.3744576465012323</v>
      </c>
      <c r="H2886" t="n">
        <v>0.0069624836047322</v>
      </c>
      <c r="I2886" t="n">
        <v>0.9384352535267544</v>
      </c>
      <c r="J2886" t="n">
        <v>0.0023427117351931</v>
      </c>
      <c r="K2886" t="n">
        <v>0.7537993526062018</v>
      </c>
      <c r="L2886" t="b">
        <v>0</v>
      </c>
      <c r="M2886" t="b">
        <v>0</v>
      </c>
      <c r="N2886" t="inlineStr">
        <is>
          <t>ref</t>
        </is>
      </c>
      <c r="O2886" t="n">
        <v>-100</v>
      </c>
      <c r="P2886" t="n">
        <v>0.008659999999999999</v>
      </c>
      <c r="Q2886" t="n">
        <v>-100</v>
      </c>
      <c r="R2886" t="n">
        <v>0.1616</v>
      </c>
      <c r="S2886">
        <f>IMAGE("https://mitra.stanford.edu/kundaje/oak/projects/neuro-variants/variant_position/credible/roussos_2024/variant_figures/roussos_2024.childhood.GLU/rs16832517_count_position.png",4,220,900)</f>
        <v/>
      </c>
      <c r="T2886">
        <f>IMAGE("https://mitra.stanford.edu/kundaje/oak/projects/neuro-variants/variant_position/credible/roussos_2024/variant_figures/roussos_2024.childhood.GLU/rs16832517_profile_position.png",4,220,900)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-0.000382322086</v>
      </c>
      <c r="G2887" t="n">
        <v>0.9310322250772426</v>
      </c>
      <c r="H2887" t="n">
        <v>0.0210821874467064</v>
      </c>
      <c r="I2887" t="n">
        <v>0.0809930287134655</v>
      </c>
      <c r="J2887" t="n">
        <v>0.7266022438109759</v>
      </c>
      <c r="K2887" t="n">
        <v>0.0125968496277851</v>
      </c>
      <c r="L2887" t="b">
        <v>0</v>
      </c>
      <c r="M2887" t="b">
        <v>0</v>
      </c>
      <c r="N2887" t="inlineStr">
        <is>
          <t>ref</t>
        </is>
      </c>
      <c r="O2887" t="n">
        <v>-55</v>
      </c>
      <c r="P2887" t="n">
        <v>0.01813</v>
      </c>
      <c r="Q2887" t="n">
        <v>-100</v>
      </c>
      <c r="R2887" t="n">
        <v>0.2476</v>
      </c>
      <c r="S2887">
        <f>IMAGE("https://mitra.stanford.edu/kundaje/oak/projects/neuro-variants/variant_position/credible/roussos_2024/variant_figures/roussos_2024.childhood.GLU/rs75907840_count_position.png",4,220,900)</f>
        <v/>
      </c>
      <c r="T2887">
        <f>IMAGE("https://mitra.stanford.edu/kundaje/oak/projects/neuro-variants/variant_position/credible/roussos_2024/variant_figures/roussos_2024.childhood.GLU/rs75907840_profile_position.png",4,220,900)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0.0091072998</v>
      </c>
      <c r="G2888" t="n">
        <v>0.663543495868933</v>
      </c>
      <c r="H2888" t="n">
        <v>0.0195636039428769</v>
      </c>
      <c r="I2888" t="n">
        <v>0.1090859682414186</v>
      </c>
      <c r="J2888" t="n">
        <v>0.3284123337488539</v>
      </c>
      <c r="K2888" t="n">
        <v>0.08664848861541879</v>
      </c>
      <c r="L2888" t="b">
        <v>0</v>
      </c>
      <c r="M2888" t="b">
        <v>0</v>
      </c>
      <c r="N2888" t="inlineStr">
        <is>
          <t>alt</t>
        </is>
      </c>
      <c r="O2888" t="n">
        <v>65</v>
      </c>
      <c r="P2888" t="n">
        <v>0.008630000000000001</v>
      </c>
      <c r="Q2888" t="n">
        <v>-100</v>
      </c>
      <c r="R2888" t="n">
        <v>0.1525</v>
      </c>
      <c r="S2888">
        <f>IMAGE("https://mitra.stanford.edu/kundaje/oak/projects/neuro-variants/variant_position/credible/roussos_2024/variant_figures/roussos_2024.childhood.GLU/rs11915160_count_position.png",4,220,900)</f>
        <v/>
      </c>
      <c r="T2888">
        <f>IMAGE("https://mitra.stanford.edu/kundaje/oak/projects/neuro-variants/variant_position/credible/roussos_2024/variant_figures/roussos_2024.childhood.GLU/rs11915160_profile_position.png",4,220,900)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0.0154742834</v>
      </c>
      <c r="G2889" t="n">
        <v>0.5229601140120503</v>
      </c>
      <c r="H2889" t="n">
        <v>0.0467297984106635</v>
      </c>
      <c r="I2889" t="n">
        <v>0.0035340768438759</v>
      </c>
      <c r="J2889" t="n">
        <v>0.0046988162815374</v>
      </c>
      <c r="K2889" t="n">
        <v>0.6833214556699198</v>
      </c>
      <c r="L2889" t="b">
        <v>0</v>
      </c>
      <c r="M2889" t="b">
        <v>0</v>
      </c>
      <c r="N2889" t="inlineStr">
        <is>
          <t>alt</t>
        </is>
      </c>
      <c r="O2889" t="n">
        <v>-75</v>
      </c>
      <c r="P2889" t="n">
        <v>0.004364</v>
      </c>
      <c r="Q2889" t="n">
        <v>-85</v>
      </c>
      <c r="R2889" t="n">
        <v>0.08594</v>
      </c>
      <c r="S2889">
        <f>IMAGE("https://mitra.stanford.edu/kundaje/oak/projects/neuro-variants/variant_position/credible/roussos_2024/variant_figures/roussos_2024.childhood.GLU/rs12638738_count_position.png",4,220,900)</f>
        <v/>
      </c>
      <c r="T2889">
        <f>IMAGE("https://mitra.stanford.edu/kundaje/oak/projects/neuro-variants/variant_position/credible/roussos_2024/variant_figures/roussos_2024.childhood.GLU/rs12638738_profile_position.png",4,220,900)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0.374193024</v>
      </c>
      <c r="G2890" t="n">
        <v>0.00094578383407</v>
      </c>
      <c r="H2890" t="n">
        <v>0.0338010350137602</v>
      </c>
      <c r="I2890" t="n">
        <v>0.0156766374983944</v>
      </c>
      <c r="J2890" t="n">
        <v>0.0932191166925937</v>
      </c>
      <c r="K2890" t="n">
        <v>0.2669630668513167</v>
      </c>
      <c r="L2890" t="b">
        <v>1</v>
      </c>
      <c r="M2890" t="b">
        <v>1</v>
      </c>
      <c r="N2890" t="inlineStr">
        <is>
          <t>alt</t>
        </is>
      </c>
      <c r="O2890" t="n">
        <v>90</v>
      </c>
      <c r="P2890" t="n">
        <v>0.00706</v>
      </c>
      <c r="Q2890" t="n">
        <v>20</v>
      </c>
      <c r="R2890" t="n">
        <v>0.02246</v>
      </c>
      <c r="S2890">
        <f>IMAGE("https://mitra.stanford.edu/kundaje/oak/projects/neuro-variants/variant_position/credible/roussos_2024/variant_figures/roussos_2024.childhood.GLU/rs57491362_count_position.png",4,220,900)</f>
        <v/>
      </c>
      <c r="T2890">
        <f>IMAGE("https://mitra.stanford.edu/kundaje/oak/projects/neuro-variants/variant_position/credible/roussos_2024/variant_figures/roussos_2024.childhood.GLU/rs57491362_profile_position.png",4,220,900)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-0.101648923</v>
      </c>
      <c r="G2891" t="n">
        <v>0.0461270417319815</v>
      </c>
      <c r="H2891" t="n">
        <v>0.012872440864933</v>
      </c>
      <c r="I2891" t="n">
        <v>0.3716942666487963</v>
      </c>
      <c r="J2891" t="n">
        <v>0.0310589592755519</v>
      </c>
      <c r="K2891" t="n">
        <v>0.4293139049303698</v>
      </c>
      <c r="L2891" t="b">
        <v>0</v>
      </c>
      <c r="M2891" t="b">
        <v>0</v>
      </c>
      <c r="N2891" t="inlineStr">
        <is>
          <t>ref</t>
        </is>
      </c>
      <c r="O2891" t="n">
        <v>100</v>
      </c>
      <c r="P2891" t="n">
        <v>0.011505</v>
      </c>
      <c r="Q2891" t="n">
        <v>-15</v>
      </c>
      <c r="R2891" t="n">
        <v>0.01062</v>
      </c>
      <c r="S2891">
        <f>IMAGE("https://mitra.stanford.edu/kundaje/oak/projects/neuro-variants/variant_position/credible/roussos_2024/variant_figures/roussos_2024.childhood.GLU/rs112543424_count_position.png",4,220,900)</f>
        <v/>
      </c>
      <c r="T2891">
        <f>IMAGE("https://mitra.stanford.edu/kundaje/oak/projects/neuro-variants/variant_position/credible/roussos_2024/variant_figures/roussos_2024.childhood.GLU/rs112543424_profile_position.png",4,220,900)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0.3386312959999999</v>
      </c>
      <c r="G2892" t="n">
        <v>0.001315540496763</v>
      </c>
      <c r="H2892" t="n">
        <v>0.0471458090423864</v>
      </c>
      <c r="I2892" t="n">
        <v>0.0036423315547882</v>
      </c>
      <c r="J2892" t="n">
        <v>0.08990079017585779</v>
      </c>
      <c r="K2892" t="n">
        <v>0.2690274120839489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0.01741</v>
      </c>
      <c r="Q2892" t="n">
        <v>-35</v>
      </c>
      <c r="R2892" t="n">
        <v>0.02808</v>
      </c>
      <c r="S2892">
        <f>IMAGE("https://mitra.stanford.edu/kundaje/oak/projects/neuro-variants/variant_position/credible/roussos_2024/variant_figures/roussos_2024.childhood.GLU/rs60319910_count_position.png",4,220,900)</f>
        <v/>
      </c>
      <c r="T2892">
        <f>IMAGE("https://mitra.stanford.edu/kundaje/oak/projects/neuro-variants/variant_position/credible/roussos_2024/variant_figures/roussos_2024.childhood.GLU/rs60319910_profile_position.png",4,220,900)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0.01957534428</v>
      </c>
      <c r="G2893" t="n">
        <v>0.4456039754691872</v>
      </c>
      <c r="H2893" t="n">
        <v>0.0105781391993054</v>
      </c>
      <c r="I2893" t="n">
        <v>0.5815955684893617</v>
      </c>
      <c r="J2893" t="n">
        <v>0.2709427508834104</v>
      </c>
      <c r="K2893" t="n">
        <v>0.1092286287525258</v>
      </c>
      <c r="L2893" t="b">
        <v>0</v>
      </c>
      <c r="M2893" t="b">
        <v>0</v>
      </c>
      <c r="N2893" t="inlineStr">
        <is>
          <t>alt</t>
        </is>
      </c>
      <c r="O2893" t="n">
        <v>100</v>
      </c>
      <c r="P2893" t="n">
        <v>0.007782</v>
      </c>
      <c r="Q2893" t="n">
        <v>30</v>
      </c>
      <c r="R2893" t="n">
        <v>0.03226</v>
      </c>
      <c r="S2893">
        <f>IMAGE("https://mitra.stanford.edu/kundaje/oak/projects/neuro-variants/variant_position/credible/roussos_2024/variant_figures/roussos_2024.childhood.GLU/rs115259874_count_position.png",4,220,900)</f>
        <v/>
      </c>
      <c r="T2893">
        <f>IMAGE("https://mitra.stanford.edu/kundaje/oak/projects/neuro-variants/variant_position/credible/roussos_2024/variant_figures/roussos_2024.childhood.GLU/rs115259874_profile_position.png",4,220,900)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-0.0217275006</v>
      </c>
      <c r="G2894" t="n">
        <v>0.4468359580573974</v>
      </c>
      <c r="H2894" t="n">
        <v>0.009714529480713</v>
      </c>
      <c r="I2894" t="n">
        <v>0.6909812764331805</v>
      </c>
      <c r="J2894" t="n">
        <v>0.0057125490640485</v>
      </c>
      <c r="K2894" t="n">
        <v>0.6563780580990316</v>
      </c>
      <c r="L2894" t="b">
        <v>0</v>
      </c>
      <c r="M2894" t="b">
        <v>0</v>
      </c>
      <c r="N2894" t="inlineStr">
        <is>
          <t>ref</t>
        </is>
      </c>
      <c r="O2894" t="n">
        <v>80</v>
      </c>
      <c r="P2894" t="n">
        <v>0.005463</v>
      </c>
      <c r="Q2894" t="n">
        <v>-100</v>
      </c>
      <c r="R2894" t="n">
        <v>0.09314</v>
      </c>
      <c r="S2894">
        <f>IMAGE("https://mitra.stanford.edu/kundaje/oak/projects/neuro-variants/variant_position/credible/roussos_2024/variant_figures/roussos_2024.childhood.GLU/rs4686478_count_position.png",4,220,900)</f>
        <v/>
      </c>
      <c r="T2894">
        <f>IMAGE("https://mitra.stanford.edu/kundaje/oak/projects/neuro-variants/variant_position/credible/roussos_2024/variant_figures/roussos_2024.childhood.GLU/rs4686478_profile_position.png",4,220,900)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0.232023224</v>
      </c>
      <c r="G2895" t="n">
        <v>0.0050102957696735</v>
      </c>
      <c r="H2895" t="n">
        <v>0.04593283056978</v>
      </c>
      <c r="I2895" t="n">
        <v>0.0038691185311295</v>
      </c>
      <c r="J2895" t="n">
        <v>0.22228357732288</v>
      </c>
      <c r="K2895" t="n">
        <v>0.1382398180986505</v>
      </c>
      <c r="L2895" t="b">
        <v>1</v>
      </c>
      <c r="M2895" t="b">
        <v>1</v>
      </c>
      <c r="N2895" t="inlineStr">
        <is>
          <t>alt</t>
        </is>
      </c>
      <c r="O2895" t="n">
        <v>90</v>
      </c>
      <c r="P2895" t="n">
        <v>0.007979999999999999</v>
      </c>
      <c r="Q2895" t="n">
        <v>95</v>
      </c>
      <c r="R2895" t="n">
        <v>0.04297</v>
      </c>
      <c r="S2895">
        <f>IMAGE("https://mitra.stanford.edu/kundaje/oak/projects/neuro-variants/variant_position/credible/roussos_2024/variant_figures/roussos_2024.childhood.GLU/rs4572756_count_position.png",4,220,900)</f>
        <v/>
      </c>
      <c r="T2895">
        <f>IMAGE("https://mitra.stanford.edu/kundaje/oak/projects/neuro-variants/variant_position/credible/roussos_2024/variant_figures/roussos_2024.childhood.GLU/rs4572756_profile_position.png",4,220,900)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-0.091834528</v>
      </c>
      <c r="G2896" t="n">
        <v>0.0569842412794305</v>
      </c>
      <c r="H2896" t="n">
        <v>0.0245250066248343</v>
      </c>
      <c r="I2896" t="n">
        <v>0.0477984194408058</v>
      </c>
      <c r="J2896" t="n">
        <v>0.4211369466451008</v>
      </c>
      <c r="K2896" t="n">
        <v>0.0587370178467046</v>
      </c>
      <c r="L2896" t="b">
        <v>0</v>
      </c>
      <c r="M2896" t="b">
        <v>0</v>
      </c>
      <c r="N2896" t="inlineStr">
        <is>
          <t>ref</t>
        </is>
      </c>
      <c r="O2896" t="n">
        <v>-50</v>
      </c>
      <c r="P2896" t="n">
        <v>0.006226</v>
      </c>
      <c r="Q2896" t="n">
        <v>-50</v>
      </c>
      <c r="R2896" t="n">
        <v>0.042</v>
      </c>
      <c r="S2896">
        <f>IMAGE("https://mitra.stanford.edu/kundaje/oak/projects/neuro-variants/variant_position/credible/roussos_2024/variant_figures/roussos_2024.childhood.GLU/rs79650876_count_position.png",4,220,900)</f>
        <v/>
      </c>
      <c r="T2896">
        <f>IMAGE("https://mitra.stanford.edu/kundaje/oak/projects/neuro-variants/variant_position/credible/roussos_2024/variant_figures/roussos_2024.childhood.GLU/rs79650876_profile_position.png",4,220,900)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-0.0197751286</v>
      </c>
      <c r="G2897" t="n">
        <v>0.4862828907597539</v>
      </c>
      <c r="H2897" t="n">
        <v>0.0126411834365605</v>
      </c>
      <c r="I2897" t="n">
        <v>0.4048725584400334</v>
      </c>
      <c r="J2897" t="n">
        <v>0.038114910319676</v>
      </c>
      <c r="K2897" t="n">
        <v>0.3918404143479633</v>
      </c>
      <c r="L2897" t="b">
        <v>0</v>
      </c>
      <c r="M2897" t="b">
        <v>0</v>
      </c>
      <c r="N2897" t="inlineStr">
        <is>
          <t>ref</t>
        </is>
      </c>
      <c r="O2897" t="n">
        <v>-45</v>
      </c>
      <c r="P2897" t="n">
        <v>0.007860000000000001</v>
      </c>
      <c r="Q2897" t="n">
        <v>-45</v>
      </c>
      <c r="R2897" t="n">
        <v>0.02795</v>
      </c>
      <c r="S2897">
        <f>IMAGE("https://mitra.stanford.edu/kundaje/oak/projects/neuro-variants/variant_position/credible/roussos_2024/variant_figures/roussos_2024.childhood.GLU/rs1365261_count_position.png",4,220,900)</f>
        <v/>
      </c>
      <c r="T2897">
        <f>IMAGE("https://mitra.stanford.edu/kundaje/oak/projects/neuro-variants/variant_position/credible/roussos_2024/variant_figures/roussos_2024.childhood.GLU/rs1365261_profile_position.png",4,220,900)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-0.044599256</v>
      </c>
      <c r="G2898" t="n">
        <v>0.214428263154706</v>
      </c>
      <c r="H2898" t="n">
        <v>0.0108715439351355</v>
      </c>
      <c r="I2898" t="n">
        <v>0.5335714561759474</v>
      </c>
      <c r="J2898" t="n">
        <v>0.0590612669599348</v>
      </c>
      <c r="K2898" t="n">
        <v>0.3381683983939718</v>
      </c>
      <c r="L2898" t="b">
        <v>0</v>
      </c>
      <c r="M2898" t="b">
        <v>0</v>
      </c>
      <c r="N2898" t="inlineStr">
        <is>
          <t>ref</t>
        </is>
      </c>
      <c r="O2898" t="n">
        <v>90</v>
      </c>
      <c r="P2898" t="n">
        <v>0.008160000000000001</v>
      </c>
      <c r="Q2898" t="n">
        <v>-45</v>
      </c>
      <c r="R2898" t="n">
        <v>0.007202</v>
      </c>
      <c r="S2898">
        <f>IMAGE("https://mitra.stanford.edu/kundaje/oak/projects/neuro-variants/variant_position/credible/roussos_2024/variant_figures/roussos_2024.childhood.GLU/rs1426271_count_position.png",4,220,900)</f>
        <v/>
      </c>
      <c r="T2898">
        <f>IMAGE("https://mitra.stanford.edu/kundaje/oak/projects/neuro-variants/variant_position/credible/roussos_2024/variant_figures/roussos_2024.childhood.GLU/rs1426271_profile_position.png",4,220,900)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0.01061772586</v>
      </c>
      <c r="G2899" t="n">
        <v>0.6291386427326525</v>
      </c>
      <c r="H2899" t="n">
        <v>0.0211161193111738</v>
      </c>
      <c r="I2899" t="n">
        <v>0.0822323819783944</v>
      </c>
      <c r="J2899" t="n">
        <v>0.023125263992912</v>
      </c>
      <c r="K2899" t="n">
        <v>0.4664073635912139</v>
      </c>
      <c r="L2899" t="b">
        <v>0</v>
      </c>
      <c r="M2899" t="b">
        <v>0</v>
      </c>
      <c r="N2899" t="inlineStr">
        <is>
          <t>alt</t>
        </is>
      </c>
      <c r="O2899" t="n">
        <v>75</v>
      </c>
      <c r="P2899" t="n">
        <v>0.01078</v>
      </c>
      <c r="Q2899" t="n">
        <v>85</v>
      </c>
      <c r="R2899" t="n">
        <v>0.138</v>
      </c>
      <c r="S2899">
        <f>IMAGE("https://mitra.stanford.edu/kundaje/oak/projects/neuro-variants/variant_position/credible/roussos_2024/variant_figures/roussos_2024.childhood.GLU/rs9683218_count_position.png",4,220,900)</f>
        <v/>
      </c>
      <c r="T2899">
        <f>IMAGE("https://mitra.stanford.edu/kundaje/oak/projects/neuro-variants/variant_position/credible/roussos_2024/variant_figures/roussos_2024.childhood.GLU/rs9683218_profile_position.png",4,220,900)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-0.0228002313</v>
      </c>
      <c r="G2900" t="n">
        <v>0.4381257884617959</v>
      </c>
      <c r="H2900" t="n">
        <v>0.0141211091387615</v>
      </c>
      <c r="I2900" t="n">
        <v>0.303747280504417</v>
      </c>
      <c r="J2900" t="n">
        <v>0.1558305088238021</v>
      </c>
      <c r="K2900" t="n">
        <v>0.184002830105093</v>
      </c>
      <c r="L2900" t="b">
        <v>0</v>
      </c>
      <c r="M2900" t="b">
        <v>0</v>
      </c>
      <c r="N2900" t="inlineStr">
        <is>
          <t>ref</t>
        </is>
      </c>
      <c r="O2900" t="n">
        <v>0</v>
      </c>
      <c r="P2900" t="n">
        <v>0</v>
      </c>
      <c r="Q2900" t="n">
        <v>100</v>
      </c>
      <c r="R2900" t="n">
        <v>0.1327</v>
      </c>
      <c r="S2900">
        <f>IMAGE("https://mitra.stanford.edu/kundaje/oak/projects/neuro-variants/variant_position/credible/roussos_2024/variant_figures/roussos_2024.childhood.GLU/rs35734242_count_position.png",4,220,900)</f>
        <v/>
      </c>
      <c r="T2900">
        <f>IMAGE("https://mitra.stanford.edu/kundaje/oak/projects/neuro-variants/variant_position/credible/roussos_2024/variant_figures/roussos_2024.childhood.GLU/rs35734242_profile_position.png",4,220,900)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-0.01003666982</v>
      </c>
      <c r="G2901" t="n">
        <v>0.6590166128181257</v>
      </c>
      <c r="H2901" t="n">
        <v>0.0068923866282631</v>
      </c>
      <c r="I2901" t="n">
        <v>0.9570779968115956</v>
      </c>
      <c r="J2901" t="n">
        <v>0.012266784798129</v>
      </c>
      <c r="K2901" t="n">
        <v>0.5651355271485529</v>
      </c>
      <c r="L2901" t="b">
        <v>0</v>
      </c>
      <c r="M2901" t="b">
        <v>0</v>
      </c>
      <c r="N2901" t="inlineStr">
        <is>
          <t>ref</t>
        </is>
      </c>
      <c r="O2901" t="n">
        <v>100</v>
      </c>
      <c r="P2901" t="n">
        <v>0.00653</v>
      </c>
      <c r="Q2901" t="n">
        <v>-85</v>
      </c>
      <c r="R2901" t="n">
        <v>0.01337</v>
      </c>
      <c r="S2901">
        <f>IMAGE("https://mitra.stanford.edu/kundaje/oak/projects/neuro-variants/variant_position/credible/roussos_2024/variant_figures/roussos_2024.childhood.GLU/rs199753793_count_position.png",4,220,900)</f>
        <v/>
      </c>
      <c r="T2901">
        <f>IMAGE("https://mitra.stanford.edu/kundaje/oak/projects/neuro-variants/variant_position/credible/roussos_2024/variant_figures/roussos_2024.childhood.GLU/rs199753793_profile_position.png",4,220,900)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-0.07565047179999999</v>
      </c>
      <c r="G2902" t="n">
        <v>0.0870184871538872</v>
      </c>
      <c r="H2902" t="n">
        <v>0.0368231602610232</v>
      </c>
      <c r="I2902" t="n">
        <v>0.0096168904736971</v>
      </c>
      <c r="J2902" t="n">
        <v>0.0030556213749265</v>
      </c>
      <c r="K2902" t="n">
        <v>0.7394256521729079</v>
      </c>
      <c r="L2902" t="b">
        <v>0</v>
      </c>
      <c r="M2902" t="b">
        <v>0</v>
      </c>
      <c r="N2902" t="inlineStr">
        <is>
          <t>ref</t>
        </is>
      </c>
      <c r="O2902" t="n">
        <v>40</v>
      </c>
      <c r="P2902" t="n">
        <v>0.00412</v>
      </c>
      <c r="Q2902" t="n">
        <v>40</v>
      </c>
      <c r="R2902" t="n">
        <v>0.0998</v>
      </c>
      <c r="S2902">
        <f>IMAGE("https://mitra.stanford.edu/kundaje/oak/projects/neuro-variants/variant_position/credible/roussos_2024/variant_figures/roussos_2024.childhood.GLU/rs73100346_count_position.png",4,220,900)</f>
        <v/>
      </c>
      <c r="T2902">
        <f>IMAGE("https://mitra.stanford.edu/kundaje/oak/projects/neuro-variants/variant_position/credible/roussos_2024/variant_figures/roussos_2024.childhood.GLU/rs73100346_profile_position.png",4,220,900)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0.0559981129999999</v>
      </c>
      <c r="G2903" t="n">
        <v>0.1393488923077677</v>
      </c>
      <c r="H2903" t="n">
        <v>0.0244090510116046</v>
      </c>
      <c r="I2903" t="n">
        <v>0.047366255790714</v>
      </c>
      <c r="J2903" t="n">
        <v>0.3033461423552803</v>
      </c>
      <c r="K2903" t="n">
        <v>0.0959301926242475</v>
      </c>
      <c r="L2903" t="b">
        <v>0</v>
      </c>
      <c r="M2903" t="b">
        <v>0</v>
      </c>
      <c r="N2903" t="inlineStr">
        <is>
          <t>alt</t>
        </is>
      </c>
      <c r="O2903" t="n">
        <v>5</v>
      </c>
      <c r="P2903" t="n">
        <v>0.00116</v>
      </c>
      <c r="Q2903" t="n">
        <v>-75</v>
      </c>
      <c r="R2903" t="n">
        <v>0.1948</v>
      </c>
      <c r="S2903">
        <f>IMAGE("https://mitra.stanford.edu/kundaje/oak/projects/neuro-variants/variant_position/credible/roussos_2024/variant_figures/roussos_2024.childhood.GLU/rs215407_count_position.png",4,220,900)</f>
        <v/>
      </c>
      <c r="T2903">
        <f>IMAGE("https://mitra.stanford.edu/kundaje/oak/projects/neuro-variants/variant_position/credible/roussos_2024/variant_figures/roussos_2024.childhood.GLU/rs215407_profile_position.png",4,220,900)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0.0342909674</v>
      </c>
      <c r="G2904" t="n">
        <v>0.2852038888700998</v>
      </c>
      <c r="H2904" t="n">
        <v>0.008843522863442499</v>
      </c>
      <c r="I2904" t="n">
        <v>0.7744673225234016</v>
      </c>
      <c r="J2904" t="n">
        <v>0.093243841882411</v>
      </c>
      <c r="K2904" t="n">
        <v>0.2597100904758368</v>
      </c>
      <c r="L2904" t="b">
        <v>0</v>
      </c>
      <c r="M2904" t="b">
        <v>0</v>
      </c>
      <c r="N2904" t="inlineStr">
        <is>
          <t>alt</t>
        </is>
      </c>
      <c r="O2904" t="n">
        <v>65</v>
      </c>
      <c r="P2904" t="n">
        <v>0.001457</v>
      </c>
      <c r="Q2904" t="n">
        <v>-90</v>
      </c>
      <c r="R2904" t="n">
        <v>0.13</v>
      </c>
      <c r="S2904">
        <f>IMAGE("https://mitra.stanford.edu/kundaje/oak/projects/neuro-variants/variant_position/credible/roussos_2024/variant_figures/roussos_2024.childhood.GLU/rs215405_count_position.png",4,220,900)</f>
        <v/>
      </c>
      <c r="T2904">
        <f>IMAGE("https://mitra.stanford.edu/kundaje/oak/projects/neuro-variants/variant_position/credible/roussos_2024/variant_figures/roussos_2024.childhood.GLU/rs215405_profile_position.png",4,220,900)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-0.0013414183</v>
      </c>
      <c r="G2905" t="n">
        <v>0.5065734137454619</v>
      </c>
      <c r="H2905" t="n">
        <v>0.0109586723767716</v>
      </c>
      <c r="I2905" t="n">
        <v>0.5376329055288375</v>
      </c>
      <c r="J2905" t="n">
        <v>0.0460506660348006</v>
      </c>
      <c r="K2905" t="n">
        <v>0.3659953657090666</v>
      </c>
      <c r="L2905" t="b">
        <v>0</v>
      </c>
      <c r="M2905" t="b">
        <v>0</v>
      </c>
      <c r="N2905" t="inlineStr">
        <is>
          <t>ref</t>
        </is>
      </c>
      <c r="O2905" t="n">
        <v>-90</v>
      </c>
      <c r="P2905" t="n">
        <v>0.007484</v>
      </c>
      <c r="Q2905" t="n">
        <v>-5</v>
      </c>
      <c r="R2905" t="n">
        <v>0.0004883</v>
      </c>
      <c r="S2905">
        <f>IMAGE("https://mitra.stanford.edu/kundaje/oak/projects/neuro-variants/variant_position/credible/roussos_2024/variant_figures/roussos_2024.childhood.GLU/rs17541787_count_position.png",4,220,900)</f>
        <v/>
      </c>
      <c r="T2905">
        <f>IMAGE("https://mitra.stanford.edu/kundaje/oak/projects/neuro-variants/variant_position/credible/roussos_2024/variant_figures/roussos_2024.childhood.GLU/rs17541787_profile_position.png",4,220,900)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-0.0304170666</v>
      </c>
      <c r="G2906" t="n">
        <v>0.3393894325035729</v>
      </c>
      <c r="H2906" t="n">
        <v>0.0363655480932793</v>
      </c>
      <c r="I2906" t="n">
        <v>0.0096361440728897</v>
      </c>
      <c r="J2906" t="n">
        <v>0.0089731834712105</v>
      </c>
      <c r="K2906" t="n">
        <v>0.6127867619355586</v>
      </c>
      <c r="L2906" t="b">
        <v>0</v>
      </c>
      <c r="M2906" t="b">
        <v>0</v>
      </c>
      <c r="N2906" t="inlineStr">
        <is>
          <t>ref</t>
        </is>
      </c>
      <c r="O2906" t="n">
        <v>60</v>
      </c>
      <c r="P2906" t="n">
        <v>0.003326</v>
      </c>
      <c r="Q2906" t="n">
        <v>90</v>
      </c>
      <c r="R2906" t="n">
        <v>0.1037</v>
      </c>
      <c r="S2906">
        <f>IMAGE("https://mitra.stanford.edu/kundaje/oak/projects/neuro-variants/variant_position/credible/roussos_2024/variant_figures/roussos_2024.childhood.GLU/rs199797430_count_position.png",4,220,900)</f>
        <v/>
      </c>
      <c r="T2906">
        <f>IMAGE("https://mitra.stanford.edu/kundaje/oak/projects/neuro-variants/variant_position/credible/roussos_2024/variant_figures/roussos_2024.childhood.GLU/rs199797430_profile_position.png",4,220,900)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-0.0217393337</v>
      </c>
      <c r="G2907" t="n">
        <v>0.4427632401691266</v>
      </c>
      <c r="H2907" t="n">
        <v>0.0282392594895242</v>
      </c>
      <c r="I2907" t="n">
        <v>0.0267168809476372</v>
      </c>
      <c r="J2907" t="n">
        <v>0.09840419504053891</v>
      </c>
      <c r="K2907" t="n">
        <v>0.2485589161670828</v>
      </c>
      <c r="L2907" t="b">
        <v>0</v>
      </c>
      <c r="M2907" t="b">
        <v>0</v>
      </c>
      <c r="N2907" t="inlineStr">
        <is>
          <t>ref</t>
        </is>
      </c>
      <c r="O2907" t="n">
        <v>65</v>
      </c>
      <c r="P2907" t="n">
        <v>0.005646</v>
      </c>
      <c r="Q2907" t="n">
        <v>25</v>
      </c>
      <c r="R2907" t="n">
        <v>0.02222</v>
      </c>
      <c r="S2907">
        <f>IMAGE("https://mitra.stanford.edu/kundaje/oak/projects/neuro-variants/variant_position/credible/roussos_2024/variant_figures/roussos_2024.childhood.GLU/rs12641122_count_position.png",4,220,900)</f>
        <v/>
      </c>
      <c r="T2907">
        <f>IMAGE("https://mitra.stanford.edu/kundaje/oak/projects/neuro-variants/variant_position/credible/roussos_2024/variant_figures/roussos_2024.childhood.GLU/rs12641122_profile_position.png",4,220,900)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-0.09015182499999989</v>
      </c>
      <c r="G2908" t="n">
        <v>0.059370301429312</v>
      </c>
      <c r="H2908" t="n">
        <v>0.0153253535298369</v>
      </c>
      <c r="I2908" t="n">
        <v>0.2292321687916431</v>
      </c>
      <c r="J2908" t="n">
        <v>0.0120978293343772</v>
      </c>
      <c r="K2908" t="n">
        <v>0.5603588140203718</v>
      </c>
      <c r="L2908" t="b">
        <v>0</v>
      </c>
      <c r="M2908" t="b">
        <v>0</v>
      </c>
      <c r="N2908" t="inlineStr">
        <is>
          <t>ref</t>
        </is>
      </c>
      <c r="O2908" t="n">
        <v>100</v>
      </c>
      <c r="P2908" t="n">
        <v>0.006695</v>
      </c>
      <c r="Q2908" t="n">
        <v>95</v>
      </c>
      <c r="R2908" t="n">
        <v>0.1675</v>
      </c>
      <c r="S2908">
        <f>IMAGE("https://mitra.stanford.edu/kundaje/oak/projects/neuro-variants/variant_position/credible/roussos_2024/variant_figures/roussos_2024.childhood.GLU/rs717947_count_position.png",4,220,900)</f>
        <v/>
      </c>
      <c r="T2908">
        <f>IMAGE("https://mitra.stanford.edu/kundaje/oak/projects/neuro-variants/variant_position/credible/roussos_2024/variant_figures/roussos_2024.childhood.GLU/rs717947_profile_position.png",4,220,900)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0.0189353356</v>
      </c>
      <c r="G2909" t="n">
        <v>0.4518709835724865</v>
      </c>
      <c r="H2909" t="n">
        <v>0.0150157919008804</v>
      </c>
      <c r="I2909" t="n">
        <v>0.2504272379084186</v>
      </c>
      <c r="J2909" t="n">
        <v>0.0125191877775144</v>
      </c>
      <c r="K2909" t="n">
        <v>0.5623882882954445</v>
      </c>
      <c r="L2909" t="b">
        <v>0</v>
      </c>
      <c r="M2909" t="b">
        <v>0</v>
      </c>
      <c r="N2909" t="inlineStr">
        <is>
          <t>alt</t>
        </is>
      </c>
      <c r="O2909" t="n">
        <v>100</v>
      </c>
      <c r="P2909" t="n">
        <v>0.01206</v>
      </c>
      <c r="Q2909" t="n">
        <v>85</v>
      </c>
      <c r="R2909" t="n">
        <v>0.1494</v>
      </c>
      <c r="S2909">
        <f>IMAGE("https://mitra.stanford.edu/kundaje/oak/projects/neuro-variants/variant_position/credible/roussos_2024/variant_figures/roussos_2024.childhood.GLU/rs16989137_count_position.png",4,220,900)</f>
        <v/>
      </c>
      <c r="T2909">
        <f>IMAGE("https://mitra.stanford.edu/kundaje/oak/projects/neuro-variants/variant_position/credible/roussos_2024/variant_figures/roussos_2024.childhood.GLU/rs16989137_profile_position.png",4,220,900)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-0.01386024636</v>
      </c>
      <c r="G2910" t="n">
        <v>0.5983182002980895</v>
      </c>
      <c r="H2910" t="n">
        <v>0.0353527894114268</v>
      </c>
      <c r="I2910" t="n">
        <v>0.0108052292869774</v>
      </c>
      <c r="J2910" t="n">
        <v>0.0108131496801178</v>
      </c>
      <c r="K2910" t="n">
        <v>0.580785870709144</v>
      </c>
      <c r="L2910" t="b">
        <v>1</v>
      </c>
      <c r="M2910" t="b">
        <v>0</v>
      </c>
      <c r="N2910" t="inlineStr">
        <is>
          <t>ref</t>
        </is>
      </c>
      <c r="O2910" t="n">
        <v>-100</v>
      </c>
      <c r="P2910" t="n">
        <v>0.02621</v>
      </c>
      <c r="Q2910" t="n">
        <v>75</v>
      </c>
      <c r="R2910" t="n">
        <v>0.0645</v>
      </c>
      <c r="S2910">
        <f>IMAGE("https://mitra.stanford.edu/kundaje/oak/projects/neuro-variants/variant_position/credible/roussos_2024/variant_figures/roussos_2024.childhood.GLU/rs12649881_count_position.png",4,220,900)</f>
        <v/>
      </c>
      <c r="T2910">
        <f>IMAGE("https://mitra.stanford.edu/kundaje/oak/projects/neuro-variants/variant_position/credible/roussos_2024/variant_figures/roussos_2024.childhood.GLU/rs12649881_profile_position.png",4,220,900)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-0.151773032</v>
      </c>
      <c r="G2911" t="n">
        <v>0.0168311195607052</v>
      </c>
      <c r="H2911" t="n">
        <v>0.020600827380969</v>
      </c>
      <c r="I2911" t="n">
        <v>0.09523465769269079</v>
      </c>
      <c r="J2911" t="n">
        <v>0.0021819980013804</v>
      </c>
      <c r="K2911" t="n">
        <v>0.7523411622249271</v>
      </c>
      <c r="L2911" t="b">
        <v>1</v>
      </c>
      <c r="M2911" t="b">
        <v>0</v>
      </c>
      <c r="N2911" t="inlineStr">
        <is>
          <t>ref</t>
        </is>
      </c>
      <c r="O2911" t="n">
        <v>45</v>
      </c>
      <c r="P2911" t="n">
        <v>0.00296</v>
      </c>
      <c r="Q2911" t="n">
        <v>50</v>
      </c>
      <c r="R2911" t="n">
        <v>0.2002</v>
      </c>
      <c r="S2911">
        <f>IMAGE("https://mitra.stanford.edu/kundaje/oak/projects/neuro-variants/variant_position/credible/roussos_2024/variant_figures/roussos_2024.childhood.GLU/rs28430802_count_position.png",4,220,900)</f>
        <v/>
      </c>
      <c r="T2911">
        <f>IMAGE("https://mitra.stanford.edu/kundaje/oak/projects/neuro-variants/variant_position/credible/roussos_2024/variant_figures/roussos_2024.childhood.GLU/rs28430802_profile_position.png",4,220,900)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0.0018484879999999</v>
      </c>
      <c r="G2912" t="n">
        <v>0.6815743838163468</v>
      </c>
      <c r="H2912" t="n">
        <v>0.0156138772029471</v>
      </c>
      <c r="I2912" t="n">
        <v>0.2223887439213615</v>
      </c>
      <c r="J2912" t="n">
        <v>0.0186283700948828</v>
      </c>
      <c r="K2912" t="n">
        <v>0.5139215097156961</v>
      </c>
      <c r="L2912" t="b">
        <v>0</v>
      </c>
      <c r="M2912" t="b">
        <v>0</v>
      </c>
      <c r="N2912" t="inlineStr">
        <is>
          <t>alt</t>
        </is>
      </c>
      <c r="O2912" t="n">
        <v>-15</v>
      </c>
      <c r="P2912" t="n">
        <v>0.002739</v>
      </c>
      <c r="Q2912" t="n">
        <v>75</v>
      </c>
      <c r="R2912" t="n">
        <v>0.08019999999999999</v>
      </c>
      <c r="S2912">
        <f>IMAGE("https://mitra.stanford.edu/kundaje/oak/projects/neuro-variants/variant_position/credible/roussos_2024/variant_figures/roussos_2024.childhood.GLU/rs16989149_count_position.png",4,220,900)</f>
        <v/>
      </c>
      <c r="T2912">
        <f>IMAGE("https://mitra.stanford.edu/kundaje/oak/projects/neuro-variants/variant_position/credible/roussos_2024/variant_figures/roussos_2024.childhood.GLU/rs16989149_profile_position.png",4,220,900)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0.00784147024</v>
      </c>
      <c r="G2913" t="n">
        <v>0.7051841442823746</v>
      </c>
      <c r="H2913" t="n">
        <v>0.024637816622548</v>
      </c>
      <c r="I2913" t="n">
        <v>0.046155320937064</v>
      </c>
      <c r="J2913" t="n">
        <v>0.0036881741477535</v>
      </c>
      <c r="K2913" t="n">
        <v>0.7189238067495034</v>
      </c>
      <c r="L2913" t="b">
        <v>0</v>
      </c>
      <c r="M2913" t="b">
        <v>0</v>
      </c>
      <c r="N2913" t="inlineStr">
        <is>
          <t>alt</t>
        </is>
      </c>
      <c r="O2913" t="n">
        <v>100</v>
      </c>
      <c r="P2913" t="n">
        <v>0.003578</v>
      </c>
      <c r="Q2913" t="n">
        <v>100</v>
      </c>
      <c r="R2913" t="n">
        <v>0.0842</v>
      </c>
      <c r="S2913">
        <f>IMAGE("https://mitra.stanford.edu/kundaje/oak/projects/neuro-variants/variant_position/credible/roussos_2024/variant_figures/roussos_2024.childhood.GLU/rs28379456_count_position.png",4,220,900)</f>
        <v/>
      </c>
      <c r="T2913">
        <f>IMAGE("https://mitra.stanford.edu/kundaje/oak/projects/neuro-variants/variant_position/credible/roussos_2024/variant_figures/roussos_2024.childhood.GLU/rs28379456_profile_position.png",4,220,900)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-0.0110678284</v>
      </c>
      <c r="G2914" t="n">
        <v>0.6358773623180883</v>
      </c>
      <c r="H2914" t="n">
        <v>0.0123829597131844</v>
      </c>
      <c r="I2914" t="n">
        <v>0.4139537459041262</v>
      </c>
      <c r="J2914" t="n">
        <v>0.1255977829746463</v>
      </c>
      <c r="K2914" t="n">
        <v>0.2148152355976564</v>
      </c>
      <c r="L2914" t="b">
        <v>0</v>
      </c>
      <c r="M2914" t="b">
        <v>0</v>
      </c>
      <c r="N2914" t="inlineStr">
        <is>
          <t>ref</t>
        </is>
      </c>
      <c r="O2914" t="n">
        <v>100</v>
      </c>
      <c r="P2914" t="n">
        <v>0.04025</v>
      </c>
      <c r="Q2914" t="n">
        <v>100</v>
      </c>
      <c r="R2914" t="n">
        <v>0.349</v>
      </c>
      <c r="S2914">
        <f>IMAGE("https://mitra.stanford.edu/kundaje/oak/projects/neuro-variants/variant_position/credible/roussos_2024/variant_figures/roussos_2024.childhood.GLU/rs35071135_count_position.png",4,220,900)</f>
        <v/>
      </c>
      <c r="T2914">
        <f>IMAGE("https://mitra.stanford.edu/kundaje/oak/projects/neuro-variants/variant_position/credible/roussos_2024/variant_figures/roussos_2024.childhood.GLU/rs35071135_profile_position.png",4,220,900)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-0.0046444637</v>
      </c>
      <c r="G2915" t="n">
        <v>0.8233939544955844</v>
      </c>
      <c r="H2915" t="n">
        <v>0.0189721418200881</v>
      </c>
      <c r="I2915" t="n">
        <v>0.1163836689008171</v>
      </c>
      <c r="J2915" t="n">
        <v>0.0554812655176321</v>
      </c>
      <c r="K2915" t="n">
        <v>0.332288065064076</v>
      </c>
      <c r="L2915" t="b">
        <v>0</v>
      </c>
      <c r="M2915" t="b">
        <v>0</v>
      </c>
      <c r="N2915" t="inlineStr">
        <is>
          <t>ref</t>
        </is>
      </c>
      <c r="O2915" t="n">
        <v>-95</v>
      </c>
      <c r="P2915" t="n">
        <v>0.0169</v>
      </c>
      <c r="Q2915" t="n">
        <v>-100</v>
      </c>
      <c r="R2915" t="n">
        <v>0.1589</v>
      </c>
      <c r="S2915">
        <f>IMAGE("https://mitra.stanford.edu/kundaje/oak/projects/neuro-variants/variant_position/credible/roussos_2024/variant_figures/roussos_2024.childhood.GLU/rs1965242_count_position.png",4,220,900)</f>
        <v/>
      </c>
      <c r="T2915">
        <f>IMAGE("https://mitra.stanford.edu/kundaje/oak/projects/neuro-variants/variant_position/credible/roussos_2024/variant_figures/roussos_2024.childhood.GLU/rs1965242_profile_position.png",4,220,900)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0.0104980524</v>
      </c>
      <c r="G2916" t="n">
        <v>0.642392455565188</v>
      </c>
      <c r="H2916" t="n">
        <v>0.0266025005497412</v>
      </c>
      <c r="I2916" t="n">
        <v>0.0344297545728709</v>
      </c>
      <c r="J2916" t="n">
        <v>0.0187076967455468</v>
      </c>
      <c r="K2916" t="n">
        <v>0.5072954861676845</v>
      </c>
      <c r="L2916" t="b">
        <v>0</v>
      </c>
      <c r="M2916" t="b">
        <v>0</v>
      </c>
      <c r="N2916" t="inlineStr">
        <is>
          <t>alt</t>
        </is>
      </c>
      <c r="O2916" t="n">
        <v>65</v>
      </c>
      <c r="P2916" t="n">
        <v>0.00556</v>
      </c>
      <c r="Q2916" t="n">
        <v>-100</v>
      </c>
      <c r="R2916" t="n">
        <v>0.03683</v>
      </c>
      <c r="S2916">
        <f>IMAGE("https://mitra.stanford.edu/kundaje/oak/projects/neuro-variants/variant_position/credible/roussos_2024/variant_figures/roussos_2024.childhood.GLU/rs12641809_count_position.png",4,220,900)</f>
        <v/>
      </c>
      <c r="T2916">
        <f>IMAGE("https://mitra.stanford.edu/kundaje/oak/projects/neuro-variants/variant_position/credible/roussos_2024/variant_figures/roussos_2024.childhood.GLU/rs12641809_profile_position.png",4,220,900)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-0.07395972826</v>
      </c>
      <c r="G2917" t="n">
        <v>0.103636151969574</v>
      </c>
      <c r="H2917" t="n">
        <v>0.022835498708698</v>
      </c>
      <c r="I2917" t="n">
        <v>0.07150843539119579</v>
      </c>
      <c r="J2917" t="n">
        <v>0.0870089731834711</v>
      </c>
      <c r="K2917" t="n">
        <v>0.2633787591445713</v>
      </c>
      <c r="L2917" t="b">
        <v>0</v>
      </c>
      <c r="M2917" t="b">
        <v>0</v>
      </c>
      <c r="N2917" t="inlineStr">
        <is>
          <t>ref</t>
        </is>
      </c>
      <c r="O2917" t="n">
        <v>90</v>
      </c>
      <c r="P2917" t="n">
        <v>0.008959999999999999</v>
      </c>
      <c r="Q2917" t="n">
        <v>30</v>
      </c>
      <c r="R2917" t="n">
        <v>0.02747</v>
      </c>
      <c r="S2917">
        <f>IMAGE("https://mitra.stanford.edu/kundaje/oak/projects/neuro-variants/variant_position/credible/roussos_2024/variant_figures/roussos_2024.childhood.GLU/rs67906834_count_position.png",4,220,900)</f>
        <v/>
      </c>
      <c r="T2917">
        <f>IMAGE("https://mitra.stanford.edu/kundaje/oak/projects/neuro-variants/variant_position/credible/roussos_2024/variant_figures/roussos_2024.childhood.GLU/rs67906834_profile_position.png",4,220,900)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-0.0410040758</v>
      </c>
      <c r="G2918" t="n">
        <v>0.2369339909557332</v>
      </c>
      <c r="H2918" t="n">
        <v>0.0111353977718685</v>
      </c>
      <c r="I2918" t="n">
        <v>0.527360620781041</v>
      </c>
      <c r="J2918" t="n">
        <v>0.0288924145178072</v>
      </c>
      <c r="K2918" t="n">
        <v>0.4317242030043532</v>
      </c>
      <c r="L2918" t="b">
        <v>0</v>
      </c>
      <c r="M2918" t="b">
        <v>0</v>
      </c>
      <c r="N2918" t="inlineStr">
        <is>
          <t>ref</t>
        </is>
      </c>
      <c r="O2918" t="n">
        <v>-75</v>
      </c>
      <c r="P2918" t="n">
        <v>0.004417</v>
      </c>
      <c r="Q2918" t="n">
        <v>-35</v>
      </c>
      <c r="R2918" t="n">
        <v>0.002686</v>
      </c>
      <c r="S2918">
        <f>IMAGE("https://mitra.stanford.edu/kundaje/oak/projects/neuro-variants/variant_position/credible/roussos_2024/variant_figures/roussos_2024.childhood.GLU/rs73127069_count_position.png",4,220,900)</f>
        <v/>
      </c>
      <c r="T2918">
        <f>IMAGE("https://mitra.stanford.edu/kundaje/oak/projects/neuro-variants/variant_position/credible/roussos_2024/variant_figures/roussos_2024.childhood.GLU/rs73127069_profile_position.png",4,220,900)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-0.00815011624</v>
      </c>
      <c r="G2919" t="n">
        <v>0.6793999045793536</v>
      </c>
      <c r="H2919" t="n">
        <v>0.0100909754835536</v>
      </c>
      <c r="I2919" t="n">
        <v>0.6505303885216072</v>
      </c>
      <c r="J2919" t="n">
        <v>0.0038210720430217</v>
      </c>
      <c r="K2919" t="n">
        <v>0.7185563298808849</v>
      </c>
      <c r="L2919" t="b">
        <v>0</v>
      </c>
      <c r="M2919" t="b">
        <v>0</v>
      </c>
      <c r="N2919" t="inlineStr">
        <is>
          <t>ref</t>
        </is>
      </c>
      <c r="O2919" t="n">
        <v>100</v>
      </c>
      <c r="P2919" t="n">
        <v>0.004387</v>
      </c>
      <c r="Q2919" t="n">
        <v>-95</v>
      </c>
      <c r="R2919" t="n">
        <v>0.1367</v>
      </c>
      <c r="S2919">
        <f>IMAGE("https://mitra.stanford.edu/kundaje/oak/projects/neuro-variants/variant_position/credible/roussos_2024/variant_figures/roussos_2024.childhood.GLU/rs67509867_count_position.png",4,220,900)</f>
        <v/>
      </c>
      <c r="T2919">
        <f>IMAGE("https://mitra.stanford.edu/kundaje/oak/projects/neuro-variants/variant_position/credible/roussos_2024/variant_figures/roussos_2024.childhood.GLU/rs67509867_profile_position.png",4,220,900)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0.271066974</v>
      </c>
      <c r="G2920" t="n">
        <v>0.0032171210114172</v>
      </c>
      <c r="H2920" t="n">
        <v>0.0325284280283361</v>
      </c>
      <c r="I2920" t="n">
        <v>0.0175765840068255</v>
      </c>
      <c r="J2920" t="n">
        <v>0.0165102455005305</v>
      </c>
      <c r="K2920" t="n">
        <v>0.5256769499318855</v>
      </c>
      <c r="L2920" t="b">
        <v>1</v>
      </c>
      <c r="M2920" t="b">
        <v>1</v>
      </c>
      <c r="N2920" t="inlineStr">
        <is>
          <t>alt</t>
        </is>
      </c>
      <c r="O2920" t="n">
        <v>5</v>
      </c>
      <c r="P2920" t="n">
        <v>1.526e-05</v>
      </c>
      <c r="Q2920" t="n">
        <v>-5</v>
      </c>
      <c r="R2920" t="n">
        <v>0.007324</v>
      </c>
      <c r="S2920">
        <f>IMAGE("https://mitra.stanford.edu/kundaje/oak/projects/neuro-variants/variant_position/credible/roussos_2024/variant_figures/roussos_2024.childhood.GLU/rs10019596_count_position.png",4,220,900)</f>
        <v/>
      </c>
      <c r="T2920">
        <f>IMAGE("https://mitra.stanford.edu/kundaje/oak/projects/neuro-variants/variant_position/credible/roussos_2024/variant_figures/roussos_2024.childhood.GLU/rs10019596_profile_position.png",4,220,900)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0.329703684</v>
      </c>
      <c r="G2921" t="n">
        <v>0.001579895934341</v>
      </c>
      <c r="H2921" t="n">
        <v>0.0903337313464616</v>
      </c>
      <c r="I2921" t="n">
        <v>0.000351602426475</v>
      </c>
      <c r="J2921" t="n">
        <v>0.000823142777669</v>
      </c>
      <c r="K2921" t="n">
        <v>0.8423440425290057</v>
      </c>
      <c r="L2921" t="b">
        <v>1</v>
      </c>
      <c r="M2921" t="b">
        <v>1</v>
      </c>
      <c r="N2921" t="inlineStr">
        <is>
          <t>alt</t>
        </is>
      </c>
      <c r="O2921" t="n">
        <v>-70</v>
      </c>
      <c r="P2921" t="n">
        <v>0.00296</v>
      </c>
      <c r="Q2921" t="n">
        <v>-80</v>
      </c>
      <c r="R2921" t="n">
        <v>0.04492</v>
      </c>
      <c r="S2921">
        <f>IMAGE("https://mitra.stanford.edu/kundaje/oak/projects/neuro-variants/variant_position/credible/roussos_2024/variant_figures/roussos_2024.childhood.GLU/rs13130383_count_position.png",4,220,900)</f>
        <v/>
      </c>
      <c r="T2921">
        <f>IMAGE("https://mitra.stanford.edu/kundaje/oak/projects/neuro-variants/variant_position/credible/roussos_2024/variant_figures/roussos_2024.childhood.GLU/rs13130383_profile_position.png",4,220,900)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0.00514472539</v>
      </c>
      <c r="G2922" t="n">
        <v>0.7657054232432287</v>
      </c>
      <c r="H2922" t="n">
        <v>0.0386060873225588</v>
      </c>
      <c r="I2922" t="n">
        <v>0.0077664242933785</v>
      </c>
      <c r="J2922" t="n">
        <v>0.0016442251228532</v>
      </c>
      <c r="K2922" t="n">
        <v>0.7976206440349599</v>
      </c>
      <c r="L2922" t="b">
        <v>0</v>
      </c>
      <c r="M2922" t="b">
        <v>0</v>
      </c>
      <c r="N2922" t="inlineStr">
        <is>
          <t>alt</t>
        </is>
      </c>
      <c r="O2922" t="n">
        <v>100</v>
      </c>
      <c r="P2922" t="n">
        <v>0.1888</v>
      </c>
      <c r="Q2922" t="n">
        <v>100</v>
      </c>
      <c r="R2922" t="n">
        <v>0.07745</v>
      </c>
      <c r="S2922">
        <f>IMAGE("https://mitra.stanford.edu/kundaje/oak/projects/neuro-variants/variant_position/credible/roussos_2024/variant_figures/roussos_2024.childhood.GLU/rs34151233_count_position.png",4,220,900)</f>
        <v/>
      </c>
      <c r="T2922">
        <f>IMAGE("https://mitra.stanford.edu/kundaje/oak/projects/neuro-variants/variant_position/credible/roussos_2024/variant_figures/roussos_2024.childhood.GLU/rs34151233_profile_position.png",4,220,900)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-0.0179212013999999</v>
      </c>
      <c r="G2923" t="n">
        <v>0.5128088400557973</v>
      </c>
      <c r="H2923" t="n">
        <v>0.0233459495872515</v>
      </c>
      <c r="I2923" t="n">
        <v>0.055989728472488</v>
      </c>
      <c r="J2923" t="n">
        <v>0.0166369620983444</v>
      </c>
      <c r="K2923" t="n">
        <v>0.5209413778621714</v>
      </c>
      <c r="L2923" t="b">
        <v>0</v>
      </c>
      <c r="M2923" t="b">
        <v>0</v>
      </c>
      <c r="N2923" t="inlineStr">
        <is>
          <t>ref</t>
        </is>
      </c>
      <c r="O2923" t="n">
        <v>40</v>
      </c>
      <c r="P2923" t="n">
        <v>0.005188</v>
      </c>
      <c r="Q2923" t="n">
        <v>-100</v>
      </c>
      <c r="R2923" t="n">
        <v>0.09973</v>
      </c>
      <c r="S2923">
        <f>IMAGE("https://mitra.stanford.edu/kundaje/oak/projects/neuro-variants/variant_position/credible/roussos_2024/variant_figures/roussos_2024.childhood.GLU/rs10025016_count_position.png",4,220,900)</f>
        <v/>
      </c>
      <c r="T2923">
        <f>IMAGE("https://mitra.stanford.edu/kundaje/oak/projects/neuro-variants/variant_position/credible/roussos_2024/variant_figures/roussos_2024.childhood.GLU/rs10025016_profile_position.png",4,220,900)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-0.06766492339999999</v>
      </c>
      <c r="G2924" t="n">
        <v>0.1033887301477497</v>
      </c>
      <c r="H2924" t="n">
        <v>0.0136264914037191</v>
      </c>
      <c r="I2924" t="n">
        <v>0.32479569723732</v>
      </c>
      <c r="J2924" t="n">
        <v>0.0256729887603407</v>
      </c>
      <c r="K2924" t="n">
        <v>0.4536791910514716</v>
      </c>
      <c r="L2924" t="b">
        <v>0</v>
      </c>
      <c r="M2924" t="b">
        <v>0</v>
      </c>
      <c r="N2924" t="inlineStr">
        <is>
          <t>ref</t>
        </is>
      </c>
      <c r="O2924" t="n">
        <v>0</v>
      </c>
      <c r="P2924" t="n">
        <v>0</v>
      </c>
      <c r="Q2924" t="n">
        <v>-60</v>
      </c>
      <c r="R2924" t="n">
        <v>0.0925</v>
      </c>
      <c r="S2924">
        <f>IMAGE("https://mitra.stanford.edu/kundaje/oak/projects/neuro-variants/variant_position/credible/roussos_2024/variant_figures/roussos_2024.childhood.GLU/rs34365744_count_position.png",4,220,900)</f>
        <v/>
      </c>
      <c r="T2924">
        <f>IMAGE("https://mitra.stanford.edu/kundaje/oak/projects/neuro-variants/variant_position/credible/roussos_2024/variant_figures/roussos_2024.childhood.GLU/rs34365744_profile_position.png",4,220,900)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-0.00373363736</v>
      </c>
      <c r="G2925" t="n">
        <v>0.799867175234646</v>
      </c>
      <c r="H2925" t="n">
        <v>0.0076266617781639</v>
      </c>
      <c r="I2925" t="n">
        <v>0.90671779631261</v>
      </c>
      <c r="J2925" t="n">
        <v>0.0158539977541285</v>
      </c>
      <c r="K2925" t="n">
        <v>0.5355654522072217</v>
      </c>
      <c r="L2925" t="b">
        <v>0</v>
      </c>
      <c r="M2925" t="b">
        <v>0</v>
      </c>
      <c r="N2925" t="inlineStr">
        <is>
          <t>ref</t>
        </is>
      </c>
      <c r="O2925" t="n">
        <v>-100</v>
      </c>
      <c r="P2925" t="n">
        <v>0.002815</v>
      </c>
      <c r="Q2925" t="n">
        <v>100</v>
      </c>
      <c r="R2925" t="n">
        <v>0.08550000000000001</v>
      </c>
      <c r="S2925">
        <f>IMAGE("https://mitra.stanford.edu/kundaje/oak/projects/neuro-variants/variant_position/credible/roussos_2024/variant_figures/roussos_2024.childhood.GLU/rs4475134_count_position.png",4,220,900)</f>
        <v/>
      </c>
      <c r="T2925">
        <f>IMAGE("https://mitra.stanford.edu/kundaje/oak/projects/neuro-variants/variant_position/credible/roussos_2024/variant_figures/roussos_2024.childhood.GLU/rs4475134_profile_position.png",4,220,900)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-0.02382336504</v>
      </c>
      <c r="G2926" t="n">
        <v>0.4421260582875222</v>
      </c>
      <c r="H2926" t="n">
        <v>0.0211512980132404</v>
      </c>
      <c r="I2926" t="n">
        <v>0.0802313566783386</v>
      </c>
      <c r="J2926" t="n">
        <v>0.025893455036212</v>
      </c>
      <c r="K2926" t="n">
        <v>0.4615663492721511</v>
      </c>
      <c r="L2926" t="b">
        <v>0</v>
      </c>
      <c r="M2926" t="b">
        <v>0</v>
      </c>
      <c r="N2926" t="inlineStr">
        <is>
          <t>ref</t>
        </is>
      </c>
      <c r="O2926" t="n">
        <v>-25</v>
      </c>
      <c r="P2926" t="n">
        <v>0.001191</v>
      </c>
      <c r="Q2926" t="n">
        <v>100</v>
      </c>
      <c r="R2926" t="n">
        <v>0.09909999999999999</v>
      </c>
      <c r="S2926">
        <f>IMAGE("https://mitra.stanford.edu/kundaje/oak/projects/neuro-variants/variant_position/credible/roussos_2024/variant_figures/roussos_2024.childhood.GLU/rs9992483_count_position.png",4,220,900)</f>
        <v/>
      </c>
      <c r="T2926">
        <f>IMAGE("https://mitra.stanford.edu/kundaje/oak/projects/neuro-variants/variant_position/credible/roussos_2024/variant_figures/roussos_2024.childhood.GLU/rs9992483_profile_position.png",4,220,900)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-0.11593477132</v>
      </c>
      <c r="G2927" t="n">
        <v>0.0462832359137508</v>
      </c>
      <c r="H2927" t="n">
        <v>0.0220133757188297</v>
      </c>
      <c r="I2927" t="n">
        <v>0.0765423323944725</v>
      </c>
      <c r="J2927" t="n">
        <v>0.0528294889097221</v>
      </c>
      <c r="K2927" t="n">
        <v>0.3637974049175498</v>
      </c>
      <c r="L2927" t="b">
        <v>0</v>
      </c>
      <c r="M2927" t="b">
        <v>0</v>
      </c>
      <c r="N2927" t="inlineStr">
        <is>
          <t>ref</t>
        </is>
      </c>
      <c r="O2927" t="n">
        <v>45</v>
      </c>
      <c r="P2927" t="n">
        <v>0.008789999999999999</v>
      </c>
      <c r="Q2927" t="n">
        <v>45</v>
      </c>
      <c r="R2927" t="n">
        <v>0.09470000000000001</v>
      </c>
      <c r="S2927">
        <f>IMAGE("https://mitra.stanford.edu/kundaje/oak/projects/neuro-variants/variant_position/credible/roussos_2024/variant_figures/roussos_2024.childhood.GLU/rs9995588_count_position.png",4,220,900)</f>
        <v/>
      </c>
      <c r="T2927">
        <f>IMAGE("https://mitra.stanford.edu/kundaje/oak/projects/neuro-variants/variant_position/credible/roussos_2024/variant_figures/roussos_2024.childhood.GLU/rs9995588_profile_position.png",4,220,900)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-0.01865957624</v>
      </c>
      <c r="G2928" t="n">
        <v>0.4713489423014852</v>
      </c>
      <c r="H2928" t="n">
        <v>0.0145371155964702</v>
      </c>
      <c r="I2928" t="n">
        <v>0.2711889243955523</v>
      </c>
      <c r="J2928" t="n">
        <v>0.0107482460568472</v>
      </c>
      <c r="K2928" t="n">
        <v>0.5796595916013614</v>
      </c>
      <c r="L2928" t="b">
        <v>0</v>
      </c>
      <c r="M2928" t="b">
        <v>0</v>
      </c>
      <c r="N2928" t="inlineStr">
        <is>
          <t>ref</t>
        </is>
      </c>
      <c r="O2928" t="n">
        <v>85</v>
      </c>
      <c r="P2928" t="n">
        <v>0.04407</v>
      </c>
      <c r="Q2928" t="n">
        <v>-75</v>
      </c>
      <c r="R2928" t="n">
        <v>0.0902</v>
      </c>
      <c r="S2928">
        <f>IMAGE("https://mitra.stanford.edu/kundaje/oak/projects/neuro-variants/variant_position/credible/roussos_2024/variant_figures/roussos_2024.childhood.GLU/rs1596581_count_position.png",4,220,900)</f>
        <v/>
      </c>
      <c r="T2928">
        <f>IMAGE("https://mitra.stanford.edu/kundaje/oak/projects/neuro-variants/variant_position/credible/roussos_2024/variant_figures/roussos_2024.childhood.GLU/rs1596581_profile_position.png",4,220,900)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-0.07049723300000001</v>
      </c>
      <c r="G2929" t="n">
        <v>0.1068028800128872</v>
      </c>
      <c r="H2929" t="n">
        <v>0.0190640405385568</v>
      </c>
      <c r="I2929" t="n">
        <v>0.1251433149810993</v>
      </c>
      <c r="J2929" t="n">
        <v>0.0001019914079965</v>
      </c>
      <c r="K2929" t="n">
        <v>0.9385109757111501</v>
      </c>
      <c r="L2929" t="b">
        <v>0</v>
      </c>
      <c r="M2929" t="b">
        <v>0</v>
      </c>
      <c r="N2929" t="inlineStr">
        <is>
          <t>ref</t>
        </is>
      </c>
      <c r="O2929" t="n">
        <v>45</v>
      </c>
      <c r="P2929" t="n">
        <v>0.000813</v>
      </c>
      <c r="Q2929" t="n">
        <v>-70</v>
      </c>
      <c r="R2929" t="n">
        <v>0.0485</v>
      </c>
      <c r="S2929">
        <f>IMAGE("https://mitra.stanford.edu/kundaje/oak/projects/neuro-variants/variant_position/credible/roussos_2024/variant_figures/roussos_2024.childhood.GLU/rs67655711_count_position.png",4,220,900)</f>
        <v/>
      </c>
      <c r="T2929">
        <f>IMAGE("https://mitra.stanford.edu/kundaje/oak/projects/neuro-variants/variant_position/credible/roussos_2024/variant_figures/roussos_2024.childhood.GLU/rs67655711_profile_position.png",4,220,900)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-0.0398507006</v>
      </c>
      <c r="G2930" t="n">
        <v>0.2567047287213884</v>
      </c>
      <c r="H2930" t="n">
        <v>0.022022079262565</v>
      </c>
      <c r="I2930" t="n">
        <v>0.07068176277310401</v>
      </c>
      <c r="J2930" t="n">
        <v>9.581011054218328e-05</v>
      </c>
      <c r="K2930" t="n">
        <v>0.9423302987627816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0.001352</v>
      </c>
      <c r="Q2930" t="n">
        <v>-85</v>
      </c>
      <c r="R2930" t="n">
        <v>0.0435</v>
      </c>
      <c r="S2930">
        <f>IMAGE("https://mitra.stanford.edu/kundaje/oak/projects/neuro-variants/variant_position/credible/roussos_2024/variant_figures/roussos_2024.childhood.GLU/rs35304177_count_position.png",4,220,900)</f>
        <v/>
      </c>
      <c r="T2930">
        <f>IMAGE("https://mitra.stanford.edu/kundaje/oak/projects/neuro-variants/variant_position/credible/roussos_2024/variant_figures/roussos_2024.childhood.GLU/rs35304177_profile_position.png",4,220,900)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-0.0156152434</v>
      </c>
      <c r="G2931" t="n">
        <v>0.5335365486539153</v>
      </c>
      <c r="H2931" t="n">
        <v>0.0187206947080207</v>
      </c>
      <c r="I2931" t="n">
        <v>0.1267621586915595</v>
      </c>
      <c r="J2931" t="n">
        <v>0.0054508741384816</v>
      </c>
      <c r="K2931" t="n">
        <v>0.6982163693750496</v>
      </c>
      <c r="L2931" t="b">
        <v>0</v>
      </c>
      <c r="M2931" t="b">
        <v>0</v>
      </c>
      <c r="N2931" t="inlineStr">
        <is>
          <t>ref</t>
        </is>
      </c>
      <c r="O2931" t="n">
        <v>-85</v>
      </c>
      <c r="P2931" t="n">
        <v>0.002914</v>
      </c>
      <c r="Q2931" t="n">
        <v>10</v>
      </c>
      <c r="R2931" t="n">
        <v>0.007187</v>
      </c>
      <c r="S2931">
        <f>IMAGE("https://mitra.stanford.edu/kundaje/oak/projects/neuro-variants/variant_position/credible/roussos_2024/variant_figures/roussos_2024.childhood.GLU/rs28530710_count_position.png",4,220,900)</f>
        <v/>
      </c>
      <c r="T2931">
        <f>IMAGE("https://mitra.stanford.edu/kundaje/oak/projects/neuro-variants/variant_position/credible/roussos_2024/variant_figures/roussos_2024.childhood.GLU/rs28530710_profile_position.png",4,220,900)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0.009271755799999899</v>
      </c>
      <c r="G2932" t="n">
        <v>0.5327568339301133</v>
      </c>
      <c r="H2932" t="n">
        <v>0.008658917306342301</v>
      </c>
      <c r="I2932" t="n">
        <v>0.7956437694785277</v>
      </c>
      <c r="J2932" t="n">
        <v>0.0078811542542779</v>
      </c>
      <c r="K2932" t="n">
        <v>0.6242024491534027</v>
      </c>
      <c r="L2932" t="b">
        <v>0</v>
      </c>
      <c r="M2932" t="b">
        <v>0</v>
      </c>
      <c r="N2932" t="inlineStr">
        <is>
          <t>alt</t>
        </is>
      </c>
      <c r="O2932" t="n">
        <v>-5</v>
      </c>
      <c r="P2932" t="n">
        <v>0.000702</v>
      </c>
      <c r="Q2932" t="n">
        <v>30</v>
      </c>
      <c r="R2932" t="n">
        <v>0.03064</v>
      </c>
      <c r="S2932">
        <f>IMAGE("https://mitra.stanford.edu/kundaje/oak/projects/neuro-variants/variant_position/credible/roussos_2024/variant_figures/roussos_2024.childhood.GLU/rs28801803_count_position.png",4,220,900)</f>
        <v/>
      </c>
      <c r="T2932">
        <f>IMAGE("https://mitra.stanford.edu/kundaje/oak/projects/neuro-variants/variant_position/credible/roussos_2024/variant_figures/roussos_2024.childhood.GLU/rs28801803_profile_position.png",4,220,900)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-0.137154457</v>
      </c>
      <c r="G2933" t="n">
        <v>0.0236703145886821</v>
      </c>
      <c r="H2933" t="n">
        <v>0.0322398905586549</v>
      </c>
      <c r="I2933" t="n">
        <v>0.0176166228155082</v>
      </c>
      <c r="J2933" t="n">
        <v>0.0124429517755776</v>
      </c>
      <c r="K2933" t="n">
        <v>0.5578993878433347</v>
      </c>
      <c r="L2933" t="b">
        <v>1</v>
      </c>
      <c r="M2933" t="b">
        <v>0</v>
      </c>
      <c r="N2933" t="inlineStr">
        <is>
          <t>ref</t>
        </is>
      </c>
      <c r="O2933" t="n">
        <v>100</v>
      </c>
      <c r="P2933" t="n">
        <v>0.002556</v>
      </c>
      <c r="Q2933" t="n">
        <v>90</v>
      </c>
      <c r="R2933" t="n">
        <v>0.1074</v>
      </c>
      <c r="S2933">
        <f>IMAGE("https://mitra.stanford.edu/kundaje/oak/projects/neuro-variants/variant_position/credible/roussos_2024/variant_figures/roussos_2024.childhood.GLU/rs28780405_count_position.png",4,220,900)</f>
        <v/>
      </c>
      <c r="T2933">
        <f>IMAGE("https://mitra.stanford.edu/kundaje/oak/projects/neuro-variants/variant_position/credible/roussos_2024/variant_figures/roussos_2024.childhood.GLU/rs28780405_profile_position.png",4,220,900)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0.0574275656</v>
      </c>
      <c r="G2934" t="n">
        <v>0.1596755827587194</v>
      </c>
      <c r="H2934" t="n">
        <v>0.0132170576732578</v>
      </c>
      <c r="I2934" t="n">
        <v>0.352119144254948</v>
      </c>
      <c r="J2934" t="n">
        <v>0.0093296382910772</v>
      </c>
      <c r="K2934" t="n">
        <v>0.600134066988378</v>
      </c>
      <c r="L2934" t="b">
        <v>0</v>
      </c>
      <c r="M2934" t="b">
        <v>0</v>
      </c>
      <c r="N2934" t="inlineStr">
        <is>
          <t>alt</t>
        </is>
      </c>
      <c r="O2934" t="n">
        <v>85</v>
      </c>
      <c r="P2934" t="n">
        <v>0.005016</v>
      </c>
      <c r="Q2934" t="n">
        <v>-10</v>
      </c>
      <c r="R2934" t="n">
        <v>0.02832</v>
      </c>
      <c r="S2934">
        <f>IMAGE("https://mitra.stanford.edu/kundaje/oak/projects/neuro-variants/variant_position/credible/roussos_2024/variant_figures/roussos_2024.childhood.GLU/rs61139508_count_position.png",4,220,900)</f>
        <v/>
      </c>
      <c r="T2934">
        <f>IMAGE("https://mitra.stanford.edu/kundaje/oak/projects/neuro-variants/variant_position/credible/roussos_2024/variant_figures/roussos_2024.childhood.GLU/rs61139508_profile_position.png",4,220,900)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-0.1180091572</v>
      </c>
      <c r="G2935" t="n">
        <v>0.0341367531673614</v>
      </c>
      <c r="H2935" t="n">
        <v>0.0170645073452614</v>
      </c>
      <c r="I2935" t="n">
        <v>0.1755149366223754</v>
      </c>
      <c r="J2935" t="n">
        <v>0.007238299319027</v>
      </c>
      <c r="K2935" t="n">
        <v>0.6383895766596638</v>
      </c>
      <c r="L2935" t="b">
        <v>0</v>
      </c>
      <c r="M2935" t="b">
        <v>0</v>
      </c>
      <c r="N2935" t="inlineStr">
        <is>
          <t>ref</t>
        </is>
      </c>
      <c r="O2935" t="n">
        <v>-20</v>
      </c>
      <c r="P2935" t="n">
        <v>0.002586</v>
      </c>
      <c r="Q2935" t="n">
        <v>-100</v>
      </c>
      <c r="R2935" t="n">
        <v>0.05774</v>
      </c>
      <c r="S2935">
        <f>IMAGE("https://mitra.stanford.edu/kundaje/oak/projects/neuro-variants/variant_position/credible/roussos_2024/variant_figures/roussos_2024.childhood.GLU/rs10017591_count_position.png",4,220,900)</f>
        <v/>
      </c>
      <c r="T2935">
        <f>IMAGE("https://mitra.stanford.edu/kundaje/oak/projects/neuro-variants/variant_position/credible/roussos_2024/variant_figures/roussos_2024.childhood.GLU/rs10017591_profile_position.png",4,220,900)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0.0646234312</v>
      </c>
      <c r="G2936" t="n">
        <v>0.1132842528414594</v>
      </c>
      <c r="H2936" t="n">
        <v>0.016245654414196</v>
      </c>
      <c r="I2936" t="n">
        <v>0.1945900204031782</v>
      </c>
      <c r="J2936" t="n">
        <v>0.0246633768427992</v>
      </c>
      <c r="K2936" t="n">
        <v>0.4839912552370303</v>
      </c>
      <c r="L2936" t="b">
        <v>0</v>
      </c>
      <c r="M2936" t="b">
        <v>0</v>
      </c>
      <c r="N2936" t="inlineStr">
        <is>
          <t>alt</t>
        </is>
      </c>
      <c r="O2936" t="n">
        <v>95</v>
      </c>
      <c r="P2936" t="n">
        <v>0.00398</v>
      </c>
      <c r="Q2936" t="n">
        <v>-100</v>
      </c>
      <c r="R2936" t="n">
        <v>0.04382</v>
      </c>
      <c r="S2936">
        <f>IMAGE("https://mitra.stanford.edu/kundaje/oak/projects/neuro-variants/variant_position/credible/roussos_2024/variant_figures/roussos_2024.childhood.GLU/rs28764846_count_position.png",4,220,900)</f>
        <v/>
      </c>
      <c r="T2936">
        <f>IMAGE("https://mitra.stanford.edu/kundaje/oak/projects/neuro-variants/variant_position/credible/roussos_2024/variant_figures/roussos_2024.childhood.GLU/rs28764846_profile_position.png",4,220,900)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-0.0012832061199999</v>
      </c>
      <c r="G2937" t="n">
        <v>0.707721618383634</v>
      </c>
      <c r="H2937" t="n">
        <v>0.0207359957546454</v>
      </c>
      <c r="I2937" t="n">
        <v>0.08653567028870029</v>
      </c>
      <c r="J2937" t="n">
        <v>0.0107667899492103</v>
      </c>
      <c r="K2937" t="n">
        <v>0.5807892922533294</v>
      </c>
      <c r="L2937" t="b">
        <v>0</v>
      </c>
      <c r="M2937" t="b">
        <v>0</v>
      </c>
      <c r="N2937" t="inlineStr">
        <is>
          <t>ref</t>
        </is>
      </c>
      <c r="O2937" t="n">
        <v>-100</v>
      </c>
      <c r="P2937" t="n">
        <v>0.003662</v>
      </c>
      <c r="Q2937" t="n">
        <v>-100</v>
      </c>
      <c r="R2937" t="n">
        <v>0.1685</v>
      </c>
      <c r="S2937">
        <f>IMAGE("https://mitra.stanford.edu/kundaje/oak/projects/neuro-variants/variant_position/credible/roussos_2024/variant_figures/roussos_2024.childhood.GLU/rs9996627_count_position.png",4,220,900)</f>
        <v/>
      </c>
      <c r="T2937">
        <f>IMAGE("https://mitra.stanford.edu/kundaje/oak/projects/neuro-variants/variant_position/credible/roussos_2024/variant_figures/roussos_2024.childhood.GLU/rs9996627_profile_position.png",4,220,900)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-0.0294226082</v>
      </c>
      <c r="G2938" t="n">
        <v>0.3560040202656228</v>
      </c>
      <c r="H2938" t="n">
        <v>0.0206023752978115</v>
      </c>
      <c r="I2938" t="n">
        <v>0.0920415422102856</v>
      </c>
      <c r="J2938" t="n">
        <v>0.0333367673874746</v>
      </c>
      <c r="K2938" t="n">
        <v>0.4377522971254134</v>
      </c>
      <c r="L2938" t="b">
        <v>0</v>
      </c>
      <c r="M2938" t="b">
        <v>0</v>
      </c>
      <c r="N2938" t="inlineStr">
        <is>
          <t>ref</t>
        </is>
      </c>
      <c r="O2938" t="n">
        <v>-85</v>
      </c>
      <c r="P2938" t="n">
        <v>0.00508</v>
      </c>
      <c r="Q2938" t="n">
        <v>95</v>
      </c>
      <c r="R2938" t="n">
        <v>0.12134</v>
      </c>
      <c r="S2938">
        <f>IMAGE("https://mitra.stanford.edu/kundaje/oak/projects/neuro-variants/variant_position/credible/roussos_2024/variant_figures/roussos_2024.childhood.GLU/rs7674046_count_position.png",4,220,900)</f>
        <v/>
      </c>
      <c r="T2938">
        <f>IMAGE("https://mitra.stanford.edu/kundaje/oak/projects/neuro-variants/variant_position/credible/roussos_2024/variant_figures/roussos_2024.childhood.GLU/rs7674046_profile_position.png",4,220,900)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0.06268049119999999</v>
      </c>
      <c r="G2939" t="n">
        <v>0.1196958528027812</v>
      </c>
      <c r="H2939" t="n">
        <v>0.0100925831071596</v>
      </c>
      <c r="I2939" t="n">
        <v>0.6451605661658578</v>
      </c>
      <c r="J2939" t="n">
        <v>0.0487931016720409</v>
      </c>
      <c r="K2939" t="n">
        <v>0.3589076558217815</v>
      </c>
      <c r="L2939" t="b">
        <v>0</v>
      </c>
      <c r="M2939" t="b">
        <v>0</v>
      </c>
      <c r="N2939" t="inlineStr">
        <is>
          <t>alt</t>
        </is>
      </c>
      <c r="O2939" t="n">
        <v>-70</v>
      </c>
      <c r="P2939" t="n">
        <v>0.005547</v>
      </c>
      <c r="Q2939" t="n">
        <v>-100</v>
      </c>
      <c r="R2939" t="n">
        <v>0.0862</v>
      </c>
      <c r="S2939">
        <f>IMAGE("https://mitra.stanford.edu/kundaje/oak/projects/neuro-variants/variant_position/credible/roussos_2024/variant_figures/roussos_2024.childhood.GLU/rs13113238_count_position.png",4,220,900)</f>
        <v/>
      </c>
      <c r="T2939">
        <f>IMAGE("https://mitra.stanford.edu/kundaje/oak/projects/neuro-variants/variant_position/credible/roussos_2024/variant_figures/roussos_2024.childhood.GLU/rs13113238_profile_position.png",4,220,900)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-0.0258781287</v>
      </c>
      <c r="G2940" t="n">
        <v>0.394011937793165</v>
      </c>
      <c r="H2940" t="n">
        <v>0.0114494156127637</v>
      </c>
      <c r="I2940" t="n">
        <v>0.5013942628619059</v>
      </c>
      <c r="J2940" t="n">
        <v>0.0048636508803197</v>
      </c>
      <c r="K2940" t="n">
        <v>0.6796975445847895</v>
      </c>
      <c r="L2940" t="b">
        <v>0</v>
      </c>
      <c r="M2940" t="b">
        <v>0</v>
      </c>
      <c r="N2940" t="inlineStr">
        <is>
          <t>ref</t>
        </is>
      </c>
      <c r="O2940" t="n">
        <v>5</v>
      </c>
      <c r="P2940" t="n">
        <v>9.155e-05</v>
      </c>
      <c r="Q2940" t="n">
        <v>0</v>
      </c>
      <c r="R2940" t="n">
        <v>0</v>
      </c>
      <c r="S2940">
        <f>IMAGE("https://mitra.stanford.edu/kundaje/oak/projects/neuro-variants/variant_position/credible/roussos_2024/variant_figures/roussos_2024.childhood.GLU/rs7693464_count_position.png",4,220,900)</f>
        <v/>
      </c>
      <c r="T2940">
        <f>IMAGE("https://mitra.stanford.edu/kundaje/oak/projects/neuro-variants/variant_position/credible/roussos_2024/variant_figures/roussos_2024.childhood.GLU/rs7693464_profile_position.png",4,220,900)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0.0560767492</v>
      </c>
      <c r="G2941" t="n">
        <v>0.1496294738282478</v>
      </c>
      <c r="H2941" t="n">
        <v>0.0134882550711207</v>
      </c>
      <c r="I2941" t="n">
        <v>0.3358758290676226</v>
      </c>
      <c r="J2941" t="n">
        <v>0.0456612442951775</v>
      </c>
      <c r="K2941" t="n">
        <v>0.3681721557960179</v>
      </c>
      <c r="L2941" t="b">
        <v>0</v>
      </c>
      <c r="M2941" t="b">
        <v>0</v>
      </c>
      <c r="N2941" t="inlineStr">
        <is>
          <t>alt</t>
        </is>
      </c>
      <c r="O2941" t="n">
        <v>100</v>
      </c>
      <c r="P2941" t="n">
        <v>0.01674</v>
      </c>
      <c r="Q2941" t="n">
        <v>70</v>
      </c>
      <c r="R2941" t="n">
        <v>0.0525</v>
      </c>
      <c r="S2941">
        <f>IMAGE("https://mitra.stanford.edu/kundaje/oak/projects/neuro-variants/variant_position/credible/roussos_2024/variant_figures/roussos_2024.childhood.GLU/rs1373494_count_position.png",4,220,900)</f>
        <v/>
      </c>
      <c r="T2941">
        <f>IMAGE("https://mitra.stanford.edu/kundaje/oak/projects/neuro-variants/variant_position/credible/roussos_2024/variant_figures/roussos_2024.childhood.GLU/rs1373494_profile_position.png",4,220,900)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-0.0123779502799999</v>
      </c>
      <c r="G2942" t="n">
        <v>0.5888133222436381</v>
      </c>
      <c r="H2942" t="n">
        <v>0.0130228880839997</v>
      </c>
      <c r="I2942" t="n">
        <v>0.3679120172199122</v>
      </c>
      <c r="J2942" t="n">
        <v>0.0004491742816816</v>
      </c>
      <c r="K2942" t="n">
        <v>0.8754502657508269</v>
      </c>
      <c r="L2942" t="b">
        <v>0</v>
      </c>
      <c r="M2942" t="b">
        <v>0</v>
      </c>
      <c r="N2942" t="inlineStr">
        <is>
          <t>ref</t>
        </is>
      </c>
      <c r="O2942" t="n">
        <v>15</v>
      </c>
      <c r="P2942" t="n">
        <v>0.002111</v>
      </c>
      <c r="Q2942" t="n">
        <v>-100</v>
      </c>
      <c r="R2942" t="n">
        <v>0.10724</v>
      </c>
      <c r="S2942">
        <f>IMAGE("https://mitra.stanford.edu/kundaje/oak/projects/neuro-variants/variant_position/credible/roussos_2024/variant_figures/roussos_2024.childhood.GLU/rs1822683_count_position.png",4,220,900)</f>
        <v/>
      </c>
      <c r="T2942">
        <f>IMAGE("https://mitra.stanford.edu/kundaje/oak/projects/neuro-variants/variant_position/credible/roussos_2024/variant_figures/roussos_2024.childhood.GLU/rs1822683_profile_position.png",4,220,900)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0.135858561</v>
      </c>
      <c r="G2943" t="n">
        <v>0.0243461074573361</v>
      </c>
      <c r="H2943" t="n">
        <v>0.0172136004112647</v>
      </c>
      <c r="I2943" t="n">
        <v>0.1780966802140531</v>
      </c>
      <c r="J2943" t="n">
        <v>0.0026806226626968</v>
      </c>
      <c r="K2943" t="n">
        <v>0.751621726715428</v>
      </c>
      <c r="L2943" t="b">
        <v>0</v>
      </c>
      <c r="M2943" t="b">
        <v>0</v>
      </c>
      <c r="N2943" t="inlineStr">
        <is>
          <t>alt</t>
        </is>
      </c>
      <c r="O2943" t="n">
        <v>-85</v>
      </c>
      <c r="P2943" t="n">
        <v>0.0286</v>
      </c>
      <c r="Q2943" t="n">
        <v>-60</v>
      </c>
      <c r="R2943" t="n">
        <v>0.1289</v>
      </c>
      <c r="S2943">
        <f>IMAGE("https://mitra.stanford.edu/kundaje/oak/projects/neuro-variants/variant_position/credible/roussos_2024/variant_figures/roussos_2024.childhood.GLU/rs3863828_count_position.png",4,220,900)</f>
        <v/>
      </c>
      <c r="T2943">
        <f>IMAGE("https://mitra.stanford.edu/kundaje/oak/projects/neuro-variants/variant_position/credible/roussos_2024/variant_figures/roussos_2024.childhood.GLU/rs3863828_profile_position.png",4,220,900)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0.0316199348</v>
      </c>
      <c r="G2944" t="n">
        <v>0.3196151329847715</v>
      </c>
      <c r="H2944" t="n">
        <v>0.0150506003748304</v>
      </c>
      <c r="I2944" t="n">
        <v>0.2496500437525489</v>
      </c>
      <c r="J2944" t="n">
        <v>5.151081211946388e-06</v>
      </c>
      <c r="K2944" t="n">
        <v>1</v>
      </c>
      <c r="L2944" t="b">
        <v>0</v>
      </c>
      <c r="M2944" t="b">
        <v>0</v>
      </c>
      <c r="N2944" t="inlineStr">
        <is>
          <t>alt</t>
        </is>
      </c>
      <c r="O2944" t="n">
        <v>-10</v>
      </c>
      <c r="P2944" t="n">
        <v>0.00132</v>
      </c>
      <c r="Q2944" t="n">
        <v>100</v>
      </c>
      <c r="R2944" t="n">
        <v>0.121</v>
      </c>
      <c r="S2944">
        <f>IMAGE("https://mitra.stanford.edu/kundaje/oak/projects/neuro-variants/variant_position/credible/roussos_2024/variant_figures/roussos_2024.childhood.GLU/rs28538874_count_position.png",4,220,900)</f>
        <v/>
      </c>
      <c r="T2944">
        <f>IMAGE("https://mitra.stanford.edu/kundaje/oak/projects/neuro-variants/variant_position/credible/roussos_2024/variant_figures/roussos_2024.childhood.GLU/rs28538874_profile_position.png",4,220,900)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0.0163149706999999</v>
      </c>
      <c r="G2945" t="n">
        <v>0.5066425961297378</v>
      </c>
      <c r="H2945" t="n">
        <v>0.0214226042240108</v>
      </c>
      <c r="I2945" t="n">
        <v>0.0762210599983901</v>
      </c>
      <c r="J2945" t="n">
        <v>0.0081953702082066</v>
      </c>
      <c r="K2945" t="n">
        <v>0.617772316560032</v>
      </c>
      <c r="L2945" t="b">
        <v>0</v>
      </c>
      <c r="M2945" t="b">
        <v>0</v>
      </c>
      <c r="N2945" t="inlineStr">
        <is>
          <t>alt</t>
        </is>
      </c>
      <c r="O2945" t="n">
        <v>-100</v>
      </c>
      <c r="P2945" t="n">
        <v>0.01776</v>
      </c>
      <c r="Q2945" t="n">
        <v>-25</v>
      </c>
      <c r="R2945" t="n">
        <v>0.04553</v>
      </c>
      <c r="S2945">
        <f>IMAGE("https://mitra.stanford.edu/kundaje/oak/projects/neuro-variants/variant_position/credible/roussos_2024/variant_figures/roussos_2024.childhood.GLU/rs66770627_count_position.png",4,220,900)</f>
        <v/>
      </c>
      <c r="T2945">
        <f>IMAGE("https://mitra.stanford.edu/kundaje/oak/projects/neuro-variants/variant_position/credible/roussos_2024/variant_figures/roussos_2024.childhood.GLU/rs66770627_profile_position.png",4,220,900)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-0.0414759688</v>
      </c>
      <c r="G2946" t="n">
        <v>0.2388864755642419</v>
      </c>
      <c r="H2946" t="n">
        <v>0.0137594510570967</v>
      </c>
      <c r="I2946" t="n">
        <v>0.3155925249523791</v>
      </c>
      <c r="J2946" t="n">
        <v>0.0015978653919457</v>
      </c>
      <c r="K2946" t="n">
        <v>0.7980468095365065</v>
      </c>
      <c r="L2946" t="b">
        <v>0</v>
      </c>
      <c r="M2946" t="b">
        <v>0</v>
      </c>
      <c r="N2946" t="inlineStr">
        <is>
          <t>ref</t>
        </is>
      </c>
      <c r="O2946" t="n">
        <v>-5</v>
      </c>
      <c r="P2946" t="n">
        <v>6.104e-05</v>
      </c>
      <c r="Q2946" t="n">
        <v>100</v>
      </c>
      <c r="R2946" t="n">
        <v>0.1255</v>
      </c>
      <c r="S2946">
        <f>IMAGE("https://mitra.stanford.edu/kundaje/oak/projects/neuro-variants/variant_position/credible/roussos_2024/variant_figures/roussos_2024.childhood.GLU/rs6832462_count_position.png",4,220,900)</f>
        <v/>
      </c>
      <c r="T2946">
        <f>IMAGE("https://mitra.stanford.edu/kundaje/oak/projects/neuro-variants/variant_position/credible/roussos_2024/variant_figures/roussos_2024.childhood.GLU/rs6832462_profile_position.png",4,220,900)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-0.0149070532</v>
      </c>
      <c r="G2947" t="n">
        <v>0.5632359854706711</v>
      </c>
      <c r="H2947" t="n">
        <v>0.0186564863070809</v>
      </c>
      <c r="I2947" t="n">
        <v>0.1246409093400506</v>
      </c>
      <c r="J2947" t="n">
        <v>0.0017132496110933</v>
      </c>
      <c r="K2947" t="n">
        <v>0.7925090839371095</v>
      </c>
      <c r="L2947" t="b">
        <v>0</v>
      </c>
      <c r="M2947" t="b">
        <v>0</v>
      </c>
      <c r="N2947" t="inlineStr">
        <is>
          <t>ref</t>
        </is>
      </c>
      <c r="O2947" t="n">
        <v>60</v>
      </c>
      <c r="P2947" t="n">
        <v>0.0009537</v>
      </c>
      <c r="Q2947" t="n">
        <v>100</v>
      </c>
      <c r="R2947" t="n">
        <v>0.0466</v>
      </c>
      <c r="S2947">
        <f>IMAGE("https://mitra.stanford.edu/kundaje/oak/projects/neuro-variants/variant_position/credible/roussos_2024/variant_figures/roussos_2024.childhood.GLU/rs59554896_count_position.png",4,220,900)</f>
        <v/>
      </c>
      <c r="T2947">
        <f>IMAGE("https://mitra.stanford.edu/kundaje/oak/projects/neuro-variants/variant_position/credible/roussos_2024/variant_figures/roussos_2024.childhood.GLU/rs59554896_profile_position.png",4,220,900)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0.037752869</v>
      </c>
      <c r="G2948" t="n">
        <v>0.2461931964589483</v>
      </c>
      <c r="H2948" t="n">
        <v>0.0256817164205744</v>
      </c>
      <c r="I2948" t="n">
        <v>0.0388233968377282</v>
      </c>
      <c r="J2948" t="n">
        <v>0.0147640289696806</v>
      </c>
      <c r="K2948" t="n">
        <v>0.5380298986222795</v>
      </c>
      <c r="L2948" t="b">
        <v>0</v>
      </c>
      <c r="M2948" t="b">
        <v>0</v>
      </c>
      <c r="N2948" t="inlineStr">
        <is>
          <t>alt</t>
        </is>
      </c>
      <c r="O2948" t="n">
        <v>85</v>
      </c>
      <c r="P2948" t="n">
        <v>0.01172</v>
      </c>
      <c r="Q2948" t="n">
        <v>100</v>
      </c>
      <c r="R2948" t="n">
        <v>0.1423</v>
      </c>
      <c r="S2948">
        <f>IMAGE("https://mitra.stanford.edu/kundaje/oak/projects/neuro-variants/variant_position/credible/roussos_2024/variant_figures/roussos_2024.childhood.GLU/rs67910708_count_position.png",4,220,900)</f>
        <v/>
      </c>
      <c r="T2948">
        <f>IMAGE("https://mitra.stanford.edu/kundaje/oak/projects/neuro-variants/variant_position/credible/roussos_2024/variant_figures/roussos_2024.childhood.GLU/rs67910708_profile_position.png",4,220,900)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0.02240142326</v>
      </c>
      <c r="G2949" t="n">
        <v>0.2924576024411094</v>
      </c>
      <c r="H2949" t="n">
        <v>0.0197825103911844</v>
      </c>
      <c r="I2949" t="n">
        <v>0.1129942455330378</v>
      </c>
      <c r="J2949" t="n">
        <v>0.0165885419349521</v>
      </c>
      <c r="K2949" t="n">
        <v>0.522558510790851</v>
      </c>
      <c r="L2949" t="b">
        <v>0</v>
      </c>
      <c r="M2949" t="b">
        <v>0</v>
      </c>
      <c r="N2949" t="inlineStr">
        <is>
          <t>alt</t>
        </is>
      </c>
      <c r="O2949" t="n">
        <v>30</v>
      </c>
      <c r="P2949" t="n">
        <v>0.000784</v>
      </c>
      <c r="Q2949" t="n">
        <v>-75</v>
      </c>
      <c r="R2949" t="n">
        <v>0.02692</v>
      </c>
      <c r="S2949">
        <f>IMAGE("https://mitra.stanford.edu/kundaje/oak/projects/neuro-variants/variant_position/credible/roussos_2024/variant_figures/roussos_2024.childhood.GLU/rs58656292_count_position.png",4,220,900)</f>
        <v/>
      </c>
      <c r="T2949">
        <f>IMAGE("https://mitra.stanford.edu/kundaje/oak/projects/neuro-variants/variant_position/credible/roussos_2024/variant_figures/roussos_2024.childhood.GLU/rs58656292_profile_position.png",4,220,900)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-0.066487824</v>
      </c>
      <c r="G2950" t="n">
        <v>0.1195041547043391</v>
      </c>
      <c r="H2950" t="n">
        <v>0.0181344145680446</v>
      </c>
      <c r="I2950" t="n">
        <v>0.1455951008471051</v>
      </c>
      <c r="J2950" t="n">
        <v>0.0063811594053591</v>
      </c>
      <c r="K2950" t="n">
        <v>0.6438760410129815</v>
      </c>
      <c r="L2950" t="b">
        <v>0</v>
      </c>
      <c r="M2950" t="b">
        <v>0</v>
      </c>
      <c r="N2950" t="inlineStr">
        <is>
          <t>ref</t>
        </is>
      </c>
      <c r="O2950" t="n">
        <v>100</v>
      </c>
      <c r="P2950" t="n">
        <v>0.004166</v>
      </c>
      <c r="Q2950" t="n">
        <v>15</v>
      </c>
      <c r="R2950" t="n">
        <v>0.0354</v>
      </c>
      <c r="S2950">
        <f>IMAGE("https://mitra.stanford.edu/kundaje/oak/projects/neuro-variants/variant_position/credible/roussos_2024/variant_figures/roussos_2024.childhood.GLU/rs13104973_count_position.png",4,220,900)</f>
        <v/>
      </c>
      <c r="T2950">
        <f>IMAGE("https://mitra.stanford.edu/kundaje/oak/projects/neuro-variants/variant_position/credible/roussos_2024/variant_figures/roussos_2024.childhood.GLU/rs13104973_profile_position.png",4,220,900)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0.00070902938</v>
      </c>
      <c r="G2951" t="n">
        <v>0.6470683238100048</v>
      </c>
      <c r="H2951" t="n">
        <v>0.0154107070839077</v>
      </c>
      <c r="I2951" t="n">
        <v>0.2283533031874572</v>
      </c>
      <c r="J2951" t="n">
        <v>0.0125717288058763</v>
      </c>
      <c r="K2951" t="n">
        <v>0.5716453007917767</v>
      </c>
      <c r="L2951" t="b">
        <v>0</v>
      </c>
      <c r="M2951" t="b">
        <v>0</v>
      </c>
      <c r="N2951" t="inlineStr">
        <is>
          <t>alt</t>
        </is>
      </c>
      <c r="O2951" t="n">
        <v>-55</v>
      </c>
      <c r="P2951" t="n">
        <v>0.003433</v>
      </c>
      <c r="Q2951" t="n">
        <v>100</v>
      </c>
      <c r="R2951" t="n">
        <v>0.1189</v>
      </c>
      <c r="S2951">
        <f>IMAGE("https://mitra.stanford.edu/kundaje/oak/projects/neuro-variants/variant_position/credible/roussos_2024/variant_figures/roussos_2024.childhood.GLU/rs3910837_count_position.png",4,220,900)</f>
        <v/>
      </c>
      <c r="T2951">
        <f>IMAGE("https://mitra.stanford.edu/kundaje/oak/projects/neuro-variants/variant_position/credible/roussos_2024/variant_figures/roussos_2024.childhood.GLU/rs3910837_profile_position.png",4,220,900)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0.00586577108</v>
      </c>
      <c r="G2952" t="n">
        <v>0.783683312706295</v>
      </c>
      <c r="H2952" t="n">
        <v>0.0195021943176577</v>
      </c>
      <c r="I2952" t="n">
        <v>0.1075891847920564</v>
      </c>
      <c r="J2952" t="n">
        <v>3.193670351406761e-05</v>
      </c>
      <c r="K2952" t="n">
        <v>0.9694805288910806</v>
      </c>
      <c r="L2952" t="b">
        <v>0</v>
      </c>
      <c r="M2952" t="b">
        <v>0</v>
      </c>
      <c r="N2952" t="inlineStr">
        <is>
          <t>alt</t>
        </is>
      </c>
      <c r="O2952" t="n">
        <v>20</v>
      </c>
      <c r="P2952" t="n">
        <v>0.002554</v>
      </c>
      <c r="Q2952" t="n">
        <v>-55</v>
      </c>
      <c r="R2952" t="n">
        <v>0.0404</v>
      </c>
      <c r="S2952">
        <f>IMAGE("https://mitra.stanford.edu/kundaje/oak/projects/neuro-variants/variant_position/credible/roussos_2024/variant_figures/roussos_2024.childhood.GLU/rs7689692_count_position.png",4,220,900)</f>
        <v/>
      </c>
      <c r="T2952">
        <f>IMAGE("https://mitra.stanford.edu/kundaje/oak/projects/neuro-variants/variant_position/credible/roussos_2024/variant_figures/roussos_2024.childhood.GLU/rs7689692_profile_position.png",4,220,900)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0.0473004476</v>
      </c>
      <c r="G2953" t="n">
        <v>0.1885659885307344</v>
      </c>
      <c r="H2953" t="n">
        <v>0.008963072180955</v>
      </c>
      <c r="I2953" t="n">
        <v>0.7555795027349342</v>
      </c>
      <c r="J2953" t="n">
        <v>0.2371537185655268</v>
      </c>
      <c r="K2953" t="n">
        <v>0.1276960060886826</v>
      </c>
      <c r="L2953" t="b">
        <v>0</v>
      </c>
      <c r="M2953" t="b">
        <v>0</v>
      </c>
      <c r="N2953" t="inlineStr">
        <is>
          <t>alt</t>
        </is>
      </c>
      <c r="O2953" t="n">
        <v>-100</v>
      </c>
      <c r="P2953" t="n">
        <v>0.04114</v>
      </c>
      <c r="Q2953" t="n">
        <v>20</v>
      </c>
      <c r="R2953" t="n">
        <v>0.02357</v>
      </c>
      <c r="S2953">
        <f>IMAGE("https://mitra.stanford.edu/kundaje/oak/projects/neuro-variants/variant_position/credible/roussos_2024/variant_figures/roussos_2024.childhood.GLU/rs10008587_count_position.png",4,220,900)</f>
        <v/>
      </c>
      <c r="T2953">
        <f>IMAGE("https://mitra.stanford.edu/kundaje/oak/projects/neuro-variants/variant_position/credible/roussos_2024/variant_figures/roussos_2024.childhood.GLU/rs10008587_profile_position.png",4,220,900)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-0.0008538571799999</v>
      </c>
      <c r="G2954" t="n">
        <v>0.8809933586490312</v>
      </c>
      <c r="H2954" t="n">
        <v>0.0225320111266706</v>
      </c>
      <c r="I2954" t="n">
        <v>0.06371071790219079</v>
      </c>
      <c r="J2954" t="n">
        <v>0.1272904282608919</v>
      </c>
      <c r="K2954" t="n">
        <v>0.2147628450761983</v>
      </c>
      <c r="L2954" t="b">
        <v>0</v>
      </c>
      <c r="M2954" t="b">
        <v>0</v>
      </c>
      <c r="N2954" t="inlineStr">
        <is>
          <t>ref</t>
        </is>
      </c>
      <c r="O2954" t="n">
        <v>100</v>
      </c>
      <c r="P2954" t="n">
        <v>0.07580000000000001</v>
      </c>
      <c r="Q2954" t="n">
        <v>100</v>
      </c>
      <c r="R2954" t="n">
        <v>0.7876</v>
      </c>
      <c r="S2954">
        <f>IMAGE("https://mitra.stanford.edu/kundaje/oak/projects/neuro-variants/variant_position/credible/roussos_2024/variant_figures/roussos_2024.childhood.GLU/rs12640723_count_position.png",4,220,900)</f>
        <v/>
      </c>
      <c r="T2954">
        <f>IMAGE("https://mitra.stanford.edu/kundaje/oak/projects/neuro-variants/variant_position/credible/roussos_2024/variant_figures/roussos_2024.childhood.GLU/rs12640723_profile_position.png",4,220,900)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-0.0050222429484</v>
      </c>
      <c r="G2955" t="n">
        <v>0.8064838606149065</v>
      </c>
      <c r="H2955" t="n">
        <v>0.0277391663750112</v>
      </c>
      <c r="I2955" t="n">
        <v>0.0288824667696471</v>
      </c>
      <c r="J2955" t="n">
        <v>0.0217952548239875</v>
      </c>
      <c r="K2955" t="n">
        <v>0.4735001662095673</v>
      </c>
      <c r="L2955" t="b">
        <v>0</v>
      </c>
      <c r="M2955" t="b">
        <v>0</v>
      </c>
      <c r="N2955" t="inlineStr">
        <is>
          <t>ref</t>
        </is>
      </c>
      <c r="O2955" t="n">
        <v>100</v>
      </c>
      <c r="P2955" t="n">
        <v>0.005615</v>
      </c>
      <c r="Q2955" t="n">
        <v>65</v>
      </c>
      <c r="R2955" t="n">
        <v>0.1311</v>
      </c>
      <c r="S2955">
        <f>IMAGE("https://mitra.stanford.edu/kundaje/oak/projects/neuro-variants/variant_position/credible/roussos_2024/variant_figures/roussos_2024.childhood.GLU/rs7683507_count_position.png",4,220,900)</f>
        <v/>
      </c>
      <c r="T2955">
        <f>IMAGE("https://mitra.stanford.edu/kundaje/oak/projects/neuro-variants/variant_position/credible/roussos_2024/variant_figures/roussos_2024.childhood.GLU/rs7683507_profile_position.png",4,220,900)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-0.0420162247999999</v>
      </c>
      <c r="G2956" t="n">
        <v>0.2513702296201158</v>
      </c>
      <c r="H2956" t="n">
        <v>0.0206264506973881</v>
      </c>
      <c r="I2956" t="n">
        <v>0.0868762362029267</v>
      </c>
      <c r="J2956" t="n">
        <v>0.0126871130250239</v>
      </c>
      <c r="K2956" t="n">
        <v>0.5594421037609605</v>
      </c>
      <c r="L2956" t="b">
        <v>0</v>
      </c>
      <c r="M2956" t="b">
        <v>0</v>
      </c>
      <c r="N2956" t="inlineStr">
        <is>
          <t>ref</t>
        </is>
      </c>
      <c r="O2956" t="n">
        <v>-45</v>
      </c>
      <c r="P2956" t="n">
        <v>0.00584</v>
      </c>
      <c r="Q2956" t="n">
        <v>-100</v>
      </c>
      <c r="R2956" t="n">
        <v>0.03265</v>
      </c>
      <c r="S2956">
        <f>IMAGE("https://mitra.stanford.edu/kundaje/oak/projects/neuro-variants/variant_position/credible/roussos_2024/variant_figures/roussos_2024.childhood.GLU/rs28691127_count_position.png",4,220,900)</f>
        <v/>
      </c>
      <c r="T2956">
        <f>IMAGE("https://mitra.stanford.edu/kundaje/oak/projects/neuro-variants/variant_position/credible/roussos_2024/variant_figures/roussos_2024.childhood.GLU/rs28691127_profile_position.png",4,220,900)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-0.0247251303</v>
      </c>
      <c r="G2957" t="n">
        <v>0.3984164624175969</v>
      </c>
      <c r="H2957" t="n">
        <v>0.009125066853351901</v>
      </c>
      <c r="I2957" t="n">
        <v>0.7560607609088603</v>
      </c>
      <c r="J2957" t="n">
        <v>0.0001833784911452</v>
      </c>
      <c r="K2957" t="n">
        <v>0.921830319102263</v>
      </c>
      <c r="L2957" t="b">
        <v>0</v>
      </c>
      <c r="M2957" t="b">
        <v>0</v>
      </c>
      <c r="N2957" t="inlineStr">
        <is>
          <t>ref</t>
        </is>
      </c>
      <c r="O2957" t="n">
        <v>75</v>
      </c>
      <c r="P2957" t="n">
        <v>0.011955</v>
      </c>
      <c r="Q2957" t="n">
        <v>75</v>
      </c>
      <c r="R2957" t="n">
        <v>0.08069999999999999</v>
      </c>
      <c r="S2957">
        <f>IMAGE("https://mitra.stanford.edu/kundaje/oak/projects/neuro-variants/variant_position/credible/roussos_2024/variant_figures/roussos_2024.childhood.GLU/rs16989276_count_position.png",4,220,900)</f>
        <v/>
      </c>
      <c r="T2957">
        <f>IMAGE("https://mitra.stanford.edu/kundaje/oak/projects/neuro-variants/variant_position/credible/roussos_2024/variant_figures/roussos_2024.childhood.GLU/rs16989276_profile_position.png",4,220,900)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-0.0589730989999999</v>
      </c>
      <c r="G2958" t="n">
        <v>0.1405837337040406</v>
      </c>
      <c r="H2958" t="n">
        <v>0.0105201256821883</v>
      </c>
      <c r="I2958" t="n">
        <v>0.6018050574364002</v>
      </c>
      <c r="J2958" t="n">
        <v>0.0003513037386547</v>
      </c>
      <c r="K2958" t="n">
        <v>0.8919914933843975</v>
      </c>
      <c r="L2958" t="b">
        <v>0</v>
      </c>
      <c r="M2958" t="b">
        <v>0</v>
      </c>
      <c r="N2958" t="inlineStr">
        <is>
          <t>ref</t>
        </is>
      </c>
      <c r="O2958" t="n">
        <v>-35</v>
      </c>
      <c r="P2958" t="n">
        <v>0.00148</v>
      </c>
      <c r="Q2958" t="n">
        <v>90</v>
      </c>
      <c r="R2958" t="n">
        <v>0.1909</v>
      </c>
      <c r="S2958">
        <f>IMAGE("https://mitra.stanford.edu/kundaje/oak/projects/neuro-variants/variant_position/credible/roussos_2024/variant_figures/roussos_2024.childhood.GLU/rs34920686_count_position.png",4,220,900)</f>
        <v/>
      </c>
      <c r="T2958">
        <f>IMAGE("https://mitra.stanford.edu/kundaje/oak/projects/neuro-variants/variant_position/credible/roussos_2024/variant_figures/roussos_2024.childhood.GLU/rs34920686_profile_position.png",4,220,900)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0.0203447589999999</v>
      </c>
      <c r="G2959" t="n">
        <v>0.4382789919627555</v>
      </c>
      <c r="H2959" t="n">
        <v>0.0149794016599351</v>
      </c>
      <c r="I2959" t="n">
        <v>0.2522633937874545</v>
      </c>
      <c r="J2959" t="n">
        <v>0.002818671639177</v>
      </c>
      <c r="K2959" t="n">
        <v>0.7307014476326295</v>
      </c>
      <c r="L2959" t="b">
        <v>0</v>
      </c>
      <c r="M2959" t="b">
        <v>0</v>
      </c>
      <c r="N2959" t="inlineStr">
        <is>
          <t>alt</t>
        </is>
      </c>
      <c r="O2959" t="n">
        <v>-100</v>
      </c>
      <c r="P2959" t="n">
        <v>0.01132</v>
      </c>
      <c r="Q2959" t="n">
        <v>25</v>
      </c>
      <c r="R2959" t="n">
        <v>0.05872</v>
      </c>
      <c r="S2959">
        <f>IMAGE("https://mitra.stanford.edu/kundaje/oak/projects/neuro-variants/variant_position/credible/roussos_2024/variant_figures/roussos_2024.childhood.GLU/rs6814473_count_position.png",4,220,900)</f>
        <v/>
      </c>
      <c r="T2959">
        <f>IMAGE("https://mitra.stanford.edu/kundaje/oak/projects/neuro-variants/variant_position/credible/roussos_2024/variant_figures/roussos_2024.childhood.GLU/rs6814473_profile_position.png",4,220,900)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0.01286841014</v>
      </c>
      <c r="G2960" t="n">
        <v>0.5681716518065234</v>
      </c>
      <c r="H2960" t="n">
        <v>0.0188296540150486</v>
      </c>
      <c r="I2960" t="n">
        <v>0.1225535338013185</v>
      </c>
      <c r="J2960" t="n">
        <v>0.009863290304634899</v>
      </c>
      <c r="K2960" t="n">
        <v>0.5849316915796839</v>
      </c>
      <c r="L2960" t="b">
        <v>0</v>
      </c>
      <c r="M2960" t="b">
        <v>0</v>
      </c>
      <c r="N2960" t="inlineStr">
        <is>
          <t>alt</t>
        </is>
      </c>
      <c r="O2960" t="n">
        <v>-60</v>
      </c>
      <c r="P2960" t="n">
        <v>0.00293</v>
      </c>
      <c r="Q2960" t="n">
        <v>35</v>
      </c>
      <c r="R2960" t="n">
        <v>0.01855</v>
      </c>
      <c r="S2960">
        <f>IMAGE("https://mitra.stanford.edu/kundaje/oak/projects/neuro-variants/variant_position/credible/roussos_2024/variant_figures/roussos_2024.childhood.GLU/rs35883430_count_position.png",4,220,900)</f>
        <v/>
      </c>
      <c r="T2960">
        <f>IMAGE("https://mitra.stanford.edu/kundaje/oak/projects/neuro-variants/variant_position/credible/roussos_2024/variant_figures/roussos_2024.childhood.GLU/rs35883430_profile_position.png",4,220,900)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-0.115980112</v>
      </c>
      <c r="G2961" t="n">
        <v>0.0353044521424386</v>
      </c>
      <c r="H2961" t="n">
        <v>0.0174041721227185</v>
      </c>
      <c r="I2961" t="n">
        <v>0.1555077746292472</v>
      </c>
      <c r="J2961" t="n">
        <v>0.0241029392069394</v>
      </c>
      <c r="K2961" t="n">
        <v>0.4629903405345615</v>
      </c>
      <c r="L2961" t="b">
        <v>0</v>
      </c>
      <c r="M2961" t="b">
        <v>0</v>
      </c>
      <c r="N2961" t="inlineStr">
        <is>
          <t>ref</t>
        </is>
      </c>
      <c r="O2961" t="n">
        <v>70</v>
      </c>
      <c r="P2961" t="n">
        <v>0.007416</v>
      </c>
      <c r="Q2961" t="n">
        <v>85</v>
      </c>
      <c r="R2961" t="n">
        <v>0.09937</v>
      </c>
      <c r="S2961">
        <f>IMAGE("https://mitra.stanford.edu/kundaje/oak/projects/neuro-variants/variant_position/credible/roussos_2024/variant_figures/roussos_2024.childhood.GLU/rs7665880_count_position.png",4,220,900)</f>
        <v/>
      </c>
      <c r="T2961">
        <f>IMAGE("https://mitra.stanford.edu/kundaje/oak/projects/neuro-variants/variant_position/credible/roussos_2024/variant_figures/roussos_2024.childhood.GLU/rs7665880_profile_position.png",4,220,900)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0.0031757511</v>
      </c>
      <c r="G2962" t="n">
        <v>0.522712783793658</v>
      </c>
      <c r="H2962" t="n">
        <v>0.0277529076720188</v>
      </c>
      <c r="I2962" t="n">
        <v>0.0287954604487263</v>
      </c>
      <c r="J2962" t="n">
        <v>0.0052108337540049</v>
      </c>
      <c r="K2962" t="n">
        <v>0.6696738977149295</v>
      </c>
      <c r="L2962" t="b">
        <v>0</v>
      </c>
      <c r="M2962" t="b">
        <v>0</v>
      </c>
      <c r="N2962" t="inlineStr">
        <is>
          <t>alt</t>
        </is>
      </c>
      <c r="O2962" t="n">
        <v>-20</v>
      </c>
      <c r="P2962" t="n">
        <v>0.002201</v>
      </c>
      <c r="Q2962" t="n">
        <v>-85</v>
      </c>
      <c r="R2962" t="n">
        <v>0.05438</v>
      </c>
      <c r="S2962">
        <f>IMAGE("https://mitra.stanford.edu/kundaje/oak/projects/neuro-variants/variant_position/credible/roussos_2024/variant_figures/roussos_2024.childhood.GLU/rs13130693_count_position.png",4,220,900)</f>
        <v/>
      </c>
      <c r="T2962">
        <f>IMAGE("https://mitra.stanford.edu/kundaje/oak/projects/neuro-variants/variant_position/credible/roussos_2024/variant_figures/roussos_2024.childhood.GLU/rs13130693_profile_position.png",4,220,900)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-0.0740307326</v>
      </c>
      <c r="G2963" t="n">
        <v>0.09714226477899469</v>
      </c>
      <c r="H2963" t="n">
        <v>0.0134439457205611</v>
      </c>
      <c r="I2963" t="n">
        <v>0.3354924300843784</v>
      </c>
      <c r="J2963" t="n">
        <v>0.1215232777359967</v>
      </c>
      <c r="K2963" t="n">
        <v>0.2201401797715491</v>
      </c>
      <c r="L2963" t="b">
        <v>0</v>
      </c>
      <c r="M2963" t="b">
        <v>0</v>
      </c>
      <c r="N2963" t="inlineStr">
        <is>
          <t>ref</t>
        </is>
      </c>
      <c r="O2963" t="n">
        <v>-100</v>
      </c>
      <c r="P2963" t="n">
        <v>0.0223</v>
      </c>
      <c r="Q2963" t="n">
        <v>-70</v>
      </c>
      <c r="R2963" t="n">
        <v>0.0674</v>
      </c>
      <c r="S2963">
        <f>IMAGE("https://mitra.stanford.edu/kundaje/oak/projects/neuro-variants/variant_position/credible/roussos_2024/variant_figures/roussos_2024.childhood.GLU/rs12647107_count_position.png",4,220,900)</f>
        <v/>
      </c>
      <c r="T2963">
        <f>IMAGE("https://mitra.stanford.edu/kundaje/oak/projects/neuro-variants/variant_position/credible/roussos_2024/variant_figures/roussos_2024.childhood.GLU/rs12647107_profile_position.png",4,220,900)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0.1193062579999999</v>
      </c>
      <c r="G2964" t="n">
        <v>0.0351050425914055</v>
      </c>
      <c r="H2964" t="n">
        <v>0.0162118605578744</v>
      </c>
      <c r="I2964" t="n">
        <v>0.2084340976155083</v>
      </c>
      <c r="J2964" t="n">
        <v>0.2004481440654392</v>
      </c>
      <c r="K2964" t="n">
        <v>0.1497608998142378</v>
      </c>
      <c r="L2964" t="b">
        <v>0</v>
      </c>
      <c r="M2964" t="b">
        <v>0</v>
      </c>
      <c r="N2964" t="inlineStr">
        <is>
          <t>alt</t>
        </is>
      </c>
      <c r="O2964" t="n">
        <v>100</v>
      </c>
      <c r="P2964" t="n">
        <v>0.006042</v>
      </c>
      <c r="Q2964" t="n">
        <v>-45</v>
      </c>
      <c r="R2964" t="n">
        <v>0.06909999999999999</v>
      </c>
      <c r="S2964">
        <f>IMAGE("https://mitra.stanford.edu/kundaje/oak/projects/neuro-variants/variant_position/credible/roussos_2024/variant_figures/roussos_2024.childhood.GLU/rs35930604_count_position.png",4,220,900)</f>
        <v/>
      </c>
      <c r="T2964">
        <f>IMAGE("https://mitra.stanford.edu/kundaje/oak/projects/neuro-variants/variant_position/credible/roussos_2024/variant_figures/roussos_2024.childhood.GLU/rs35930604_profile_position.png",4,220,900)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-0.00594646086</v>
      </c>
      <c r="G2965" t="n">
        <v>0.6323398622010701</v>
      </c>
      <c r="H2965" t="n">
        <v>0.0215855648621357</v>
      </c>
      <c r="I2965" t="n">
        <v>0.07464861614866029</v>
      </c>
      <c r="J2965" t="n">
        <v>0.3809379088670711</v>
      </c>
      <c r="K2965" t="n">
        <v>0.06964024580356851</v>
      </c>
      <c r="L2965" t="b">
        <v>0</v>
      </c>
      <c r="M2965" t="b">
        <v>0</v>
      </c>
      <c r="N2965" t="inlineStr">
        <is>
          <t>ref</t>
        </is>
      </c>
      <c r="O2965" t="n">
        <v>100</v>
      </c>
      <c r="P2965" t="n">
        <v>0.010345</v>
      </c>
      <c r="Q2965" t="n">
        <v>60</v>
      </c>
      <c r="R2965" t="n">
        <v>0.08105</v>
      </c>
      <c r="S2965">
        <f>IMAGE("https://mitra.stanford.edu/kundaje/oak/projects/neuro-variants/variant_position/credible/roussos_2024/variant_figures/roussos_2024.childhood.GLU/rs67951022_count_position.png",4,220,900)</f>
        <v/>
      </c>
      <c r="T2965">
        <f>IMAGE("https://mitra.stanford.edu/kundaje/oak/projects/neuro-variants/variant_position/credible/roussos_2024/variant_figures/roussos_2024.childhood.GLU/rs67951022_profile_position.png",4,220,900)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0.09779968759999989</v>
      </c>
      <c r="G2966" t="n">
        <v>0.0513670843402871</v>
      </c>
      <c r="H2966" t="n">
        <v>0.0108774510043325</v>
      </c>
      <c r="I2966" t="n">
        <v>0.5306201874438097</v>
      </c>
      <c r="J2966" t="n">
        <v>0.005944347718586</v>
      </c>
      <c r="K2966" t="n">
        <v>0.6508357844216049</v>
      </c>
      <c r="L2966" t="b">
        <v>0</v>
      </c>
      <c r="M2966" t="b">
        <v>0</v>
      </c>
      <c r="N2966" t="inlineStr">
        <is>
          <t>alt</t>
        </is>
      </c>
      <c r="O2966" t="n">
        <v>5</v>
      </c>
      <c r="P2966" t="n">
        <v>0.003708</v>
      </c>
      <c r="Q2966" t="n">
        <v>-55</v>
      </c>
      <c r="R2966" t="n">
        <v>0.0713</v>
      </c>
      <c r="S2966">
        <f>IMAGE("https://mitra.stanford.edu/kundaje/oak/projects/neuro-variants/variant_position/credible/roussos_2024/variant_figures/roussos_2024.childhood.GLU/rs6531289_count_position.png",4,220,900)</f>
        <v/>
      </c>
      <c r="T2966">
        <f>IMAGE("https://mitra.stanford.edu/kundaje/oak/projects/neuro-variants/variant_position/credible/roussos_2024/variant_figures/roussos_2024.childhood.GLU/rs6531289_profile_position.png",4,220,900)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0.0482128416</v>
      </c>
      <c r="G2967" t="n">
        <v>0.1783646917437685</v>
      </c>
      <c r="H2967" t="n">
        <v>0.0093154163349314</v>
      </c>
      <c r="I2967" t="n">
        <v>0.7326788012232102</v>
      </c>
      <c r="J2967" t="n">
        <v>0.0029433278045061</v>
      </c>
      <c r="K2967" t="n">
        <v>0.7287825479728709</v>
      </c>
      <c r="L2967" t="b">
        <v>0</v>
      </c>
      <c r="M2967" t="b">
        <v>0</v>
      </c>
      <c r="N2967" t="inlineStr">
        <is>
          <t>alt</t>
        </is>
      </c>
      <c r="O2967" t="n">
        <v>-100</v>
      </c>
      <c r="P2967" t="n">
        <v>0.005768</v>
      </c>
      <c r="Q2967" t="n">
        <v>90</v>
      </c>
      <c r="R2967" t="n">
        <v>0.1238</v>
      </c>
      <c r="S2967">
        <f>IMAGE("https://mitra.stanford.edu/kundaje/oak/projects/neuro-variants/variant_position/credible/roussos_2024/variant_figures/roussos_2024.childhood.GLU/rs6824096_count_position.png",4,220,900)</f>
        <v/>
      </c>
      <c r="T2967">
        <f>IMAGE("https://mitra.stanford.edu/kundaje/oak/projects/neuro-variants/variant_position/credible/roussos_2024/variant_figures/roussos_2024.childhood.GLU/rs6824096_profile_position.png",4,220,900)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0.0751159802</v>
      </c>
      <c r="G2968" t="n">
        <v>0.0878896723714036</v>
      </c>
      <c r="H2968" t="n">
        <v>0.0207023466575657</v>
      </c>
      <c r="I2968" t="n">
        <v>0.0913320893782507</v>
      </c>
      <c r="J2968" t="n">
        <v>0.0253072619942925</v>
      </c>
      <c r="K2968" t="n">
        <v>0.4530609244029382</v>
      </c>
      <c r="L2968" t="b">
        <v>0</v>
      </c>
      <c r="M2968" t="b">
        <v>0</v>
      </c>
      <c r="N2968" t="inlineStr">
        <is>
          <t>alt</t>
        </is>
      </c>
      <c r="O2968" t="n">
        <v>35</v>
      </c>
      <c r="P2968" t="n">
        <v>0.009849999999999999</v>
      </c>
      <c r="Q2968" t="n">
        <v>-85</v>
      </c>
      <c r="R2968" t="n">
        <v>0.02942</v>
      </c>
      <c r="S2968">
        <f>IMAGE("https://mitra.stanford.edu/kundaje/oak/projects/neuro-variants/variant_position/credible/roussos_2024/variant_figures/roussos_2024.childhood.GLU/rs59339146_count_position.png",4,220,900)</f>
        <v/>
      </c>
      <c r="T2968">
        <f>IMAGE("https://mitra.stanford.edu/kundaje/oak/projects/neuro-variants/variant_position/credible/roussos_2024/variant_figures/roussos_2024.childhood.GLU/rs59339146_profile_position.png",4,220,900)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-0.0422972446</v>
      </c>
      <c r="G2969" t="n">
        <v>0.2350192438345957</v>
      </c>
      <c r="H2969" t="n">
        <v>0.0141632540294641</v>
      </c>
      <c r="I2969" t="n">
        <v>0.3046072005753504</v>
      </c>
      <c r="J2969" t="n">
        <v>0.0133062729866998</v>
      </c>
      <c r="K2969" t="n">
        <v>0.5507053742109689</v>
      </c>
      <c r="L2969" t="b">
        <v>0</v>
      </c>
      <c r="M2969" t="b">
        <v>0</v>
      </c>
      <c r="N2969" t="inlineStr">
        <is>
          <t>ref</t>
        </is>
      </c>
      <c r="O2969" t="n">
        <v>-100</v>
      </c>
      <c r="P2969" t="n">
        <v>0.02226</v>
      </c>
      <c r="Q2969" t="n">
        <v>-55</v>
      </c>
      <c r="R2969" t="n">
        <v>0.1199</v>
      </c>
      <c r="S2969">
        <f>IMAGE("https://mitra.stanford.edu/kundaje/oak/projects/neuro-variants/variant_position/credible/roussos_2024/variant_figures/roussos_2024.childhood.GLU/rs35776025_count_position.png",4,220,900)</f>
        <v/>
      </c>
      <c r="T2969">
        <f>IMAGE("https://mitra.stanford.edu/kundaje/oak/projects/neuro-variants/variant_position/credible/roussos_2024/variant_figures/roussos_2024.childhood.GLU/rs35776025_profile_position.png",4,220,900)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0.0618304659999999</v>
      </c>
      <c r="G2970" t="n">
        <v>0.1159236178850523</v>
      </c>
      <c r="H2970" t="n">
        <v>0.0100271695163526</v>
      </c>
      <c r="I2970" t="n">
        <v>0.6605163940922542</v>
      </c>
      <c r="J2970" t="n">
        <v>0.0164298886336241</v>
      </c>
      <c r="K2970" t="n">
        <v>0.5216990561770699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0.01389</v>
      </c>
      <c r="Q2970" t="n">
        <v>-75</v>
      </c>
      <c r="R2970" t="n">
        <v>0.133</v>
      </c>
      <c r="S2970">
        <f>IMAGE("https://mitra.stanford.edu/kundaje/oak/projects/neuro-variants/variant_position/credible/roussos_2024/variant_figures/roussos_2024.childhood.GLU/rs6844408_count_position.png",4,220,900)</f>
        <v/>
      </c>
      <c r="T2970">
        <f>IMAGE("https://mitra.stanford.edu/kundaje/oak/projects/neuro-variants/variant_position/credible/roussos_2024/variant_figures/roussos_2024.childhood.GLU/rs6844408_profile_position.png",4,220,900)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-0.0014176466</v>
      </c>
      <c r="G2971" t="n">
        <v>0.8915487980947429</v>
      </c>
      <c r="H2971" t="n">
        <v>0.0268711564200318</v>
      </c>
      <c r="I2971" t="n">
        <v>0.0327636781617638</v>
      </c>
      <c r="J2971" t="n">
        <v>0.0053993633263621</v>
      </c>
      <c r="K2971" t="n">
        <v>0.6664278252534493</v>
      </c>
      <c r="L2971" t="b">
        <v>0</v>
      </c>
      <c r="M2971" t="b">
        <v>0</v>
      </c>
      <c r="N2971" t="inlineStr">
        <is>
          <t>ref</t>
        </is>
      </c>
      <c r="O2971" t="n">
        <v>-90</v>
      </c>
      <c r="P2971" t="n">
        <v>0.005005</v>
      </c>
      <c r="Q2971" t="n">
        <v>-20</v>
      </c>
      <c r="R2971" t="n">
        <v>0.06610000000000001</v>
      </c>
      <c r="S2971">
        <f>IMAGE("https://mitra.stanford.edu/kundaje/oak/projects/neuro-variants/variant_position/credible/roussos_2024/variant_figures/roussos_2024.childhood.GLU/rs10461117_count_position.png",4,220,900)</f>
        <v/>
      </c>
      <c r="T2971">
        <f>IMAGE("https://mitra.stanford.edu/kundaje/oak/projects/neuro-variants/variant_position/credible/roussos_2024/variant_figures/roussos_2024.childhood.GLU/rs10461117_profile_position.png",4,220,900)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-0.0147301968399999</v>
      </c>
      <c r="G2972" t="n">
        <v>0.5741258807617827</v>
      </c>
      <c r="H2972" t="n">
        <v>0.041094408320131</v>
      </c>
      <c r="I2972" t="n">
        <v>0.0059109943092972</v>
      </c>
      <c r="J2972" t="n">
        <v>0.0136699393202632</v>
      </c>
      <c r="K2972" t="n">
        <v>0.5484280498576479</v>
      </c>
      <c r="L2972" t="b">
        <v>1</v>
      </c>
      <c r="M2972" t="b">
        <v>0</v>
      </c>
      <c r="N2972" t="inlineStr">
        <is>
          <t>ref</t>
        </is>
      </c>
      <c r="O2972" t="n">
        <v>-35</v>
      </c>
      <c r="P2972" t="n">
        <v>0.00473</v>
      </c>
      <c r="Q2972" t="n">
        <v>-100</v>
      </c>
      <c r="R2972" t="n">
        <v>0.08856</v>
      </c>
      <c r="S2972">
        <f>IMAGE("https://mitra.stanford.edu/kundaje/oak/projects/neuro-variants/variant_position/credible/roussos_2024/variant_figures/roussos_2024.childhood.GLU/rs113731541_count_position.png",4,220,900)</f>
        <v/>
      </c>
      <c r="T2972">
        <f>IMAGE("https://mitra.stanford.edu/kundaje/oak/projects/neuro-variants/variant_position/credible/roussos_2024/variant_figures/roussos_2024.childhood.GLU/rs113731541_profile_position.png",4,220,900)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0.01261816566</v>
      </c>
      <c r="G2973" t="n">
        <v>0.5952062492885088</v>
      </c>
      <c r="H2973" t="n">
        <v>0.0249584117473616</v>
      </c>
      <c r="I2973" t="n">
        <v>0.0436324498290079</v>
      </c>
      <c r="J2973" t="n">
        <v>0.013997548085343</v>
      </c>
      <c r="K2973" t="n">
        <v>0.5453745596732437</v>
      </c>
      <c r="L2973" t="b">
        <v>0</v>
      </c>
      <c r="M2973" t="b">
        <v>0</v>
      </c>
      <c r="N2973" t="inlineStr">
        <is>
          <t>alt</t>
        </is>
      </c>
      <c r="O2973" t="n">
        <v>-55</v>
      </c>
      <c r="P2973" t="n">
        <v>0.00699</v>
      </c>
      <c r="Q2973" t="n">
        <v>-75</v>
      </c>
      <c r="R2973" t="n">
        <v>0.07654</v>
      </c>
      <c r="S2973">
        <f>IMAGE("https://mitra.stanford.edu/kundaje/oak/projects/neuro-variants/variant_position/credible/roussos_2024/variant_figures/roussos_2024.childhood.GLU/rs34334195_count_position.png",4,220,900)</f>
        <v/>
      </c>
      <c r="T2973">
        <f>IMAGE("https://mitra.stanford.edu/kundaje/oak/projects/neuro-variants/variant_position/credible/roussos_2024/variant_figures/roussos_2024.childhood.GLU/rs34334195_profile_position.png",4,220,900)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-0.0176158904</v>
      </c>
      <c r="G2974" t="n">
        <v>0.4945563839589575</v>
      </c>
      <c r="H2974" t="n">
        <v>0.030004380892623</v>
      </c>
      <c r="I2974" t="n">
        <v>0.0224019119059549</v>
      </c>
      <c r="J2974" t="n">
        <v>0.0078378851720975</v>
      </c>
      <c r="K2974" t="n">
        <v>0.6200390245018506</v>
      </c>
      <c r="L2974" t="b">
        <v>0</v>
      </c>
      <c r="M2974" t="b">
        <v>0</v>
      </c>
      <c r="N2974" t="inlineStr">
        <is>
          <t>ref</t>
        </is>
      </c>
      <c r="O2974" t="n">
        <v>-75</v>
      </c>
      <c r="P2974" t="n">
        <v>0.01542</v>
      </c>
      <c r="Q2974" t="n">
        <v>20</v>
      </c>
      <c r="R2974" t="n">
        <v>0.02312</v>
      </c>
      <c r="S2974">
        <f>IMAGE("https://mitra.stanford.edu/kundaje/oak/projects/neuro-variants/variant_position/credible/roussos_2024/variant_figures/roussos_2024.childhood.GLU/rs35361741_count_position.png",4,220,900)</f>
        <v/>
      </c>
      <c r="T2974">
        <f>IMAGE("https://mitra.stanford.edu/kundaje/oak/projects/neuro-variants/variant_position/credible/roussos_2024/variant_figures/roussos_2024.childhood.GLU/rs35361741_profile_position.png",4,220,900)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-0.1574377068</v>
      </c>
      <c r="G2975" t="n">
        <v>0.0150518345628649</v>
      </c>
      <c r="H2975" t="n">
        <v>0.0260096175486391</v>
      </c>
      <c r="I2975" t="n">
        <v>0.0368601372873583</v>
      </c>
      <c r="J2975" t="n">
        <v>0.0064316400012361</v>
      </c>
      <c r="K2975" t="n">
        <v>0.6435398397348596</v>
      </c>
      <c r="L2975" t="b">
        <v>1</v>
      </c>
      <c r="M2975" t="b">
        <v>0</v>
      </c>
      <c r="N2975" t="inlineStr">
        <is>
          <t>ref</t>
        </is>
      </c>
      <c r="O2975" t="n">
        <v>-5</v>
      </c>
      <c r="P2975" t="n">
        <v>0.0004158</v>
      </c>
      <c r="Q2975" t="n">
        <v>-85</v>
      </c>
      <c r="R2975" t="n">
        <v>0.05493</v>
      </c>
      <c r="S2975">
        <f>IMAGE("https://mitra.stanford.edu/kundaje/oak/projects/neuro-variants/variant_position/credible/roussos_2024/variant_figures/roussos_2024.childhood.GLU/rs13146184_count_position.png",4,220,900)</f>
        <v/>
      </c>
      <c r="T2975">
        <f>IMAGE("https://mitra.stanford.edu/kundaje/oak/projects/neuro-variants/variant_position/credible/roussos_2024/variant_figures/roussos_2024.childhood.GLU/rs13146184_profile_position.png",4,220,900)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-0.007830368553999999</v>
      </c>
      <c r="G2976" t="n">
        <v>0.7298764632397287</v>
      </c>
      <c r="H2976" t="n">
        <v>0.0229301469573344</v>
      </c>
      <c r="I2976" t="n">
        <v>0.0608861256124524</v>
      </c>
      <c r="J2976" t="n">
        <v>0.0043526636240946</v>
      </c>
      <c r="K2976" t="n">
        <v>0.7133649460462991</v>
      </c>
      <c r="L2976" t="b">
        <v>0</v>
      </c>
      <c r="M2976" t="b">
        <v>0</v>
      </c>
      <c r="N2976" t="inlineStr">
        <is>
          <t>ref</t>
        </is>
      </c>
      <c r="O2976" t="n">
        <v>80</v>
      </c>
      <c r="P2976" t="n">
        <v>0.00418</v>
      </c>
      <c r="Q2976" t="n">
        <v>100</v>
      </c>
      <c r="R2976" t="n">
        <v>0.3188</v>
      </c>
      <c r="S2976">
        <f>IMAGE("https://mitra.stanford.edu/kundaje/oak/projects/neuro-variants/variant_position/credible/roussos_2024/variant_figures/roussos_2024.childhood.GLU/rs3924935_count_position.png",4,220,900)</f>
        <v/>
      </c>
      <c r="T2976">
        <f>IMAGE("https://mitra.stanford.edu/kundaje/oak/projects/neuro-variants/variant_position/credible/roussos_2024/variant_figures/roussos_2024.childhood.GLU/rs3924935_profile_position.png",4,220,900)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-0.0035708653699999</v>
      </c>
      <c r="G2977" t="n">
        <v>0.8786362854072632</v>
      </c>
      <c r="H2977" t="n">
        <v>0.0241756144376987</v>
      </c>
      <c r="I2977" t="n">
        <v>0.0489232035226492</v>
      </c>
      <c r="J2977" t="n">
        <v>0.0117527068931768</v>
      </c>
      <c r="K2977" t="n">
        <v>0.5632608891173301</v>
      </c>
      <c r="L2977" t="b">
        <v>0</v>
      </c>
      <c r="M2977" t="b">
        <v>0</v>
      </c>
      <c r="N2977" t="inlineStr">
        <is>
          <t>ref</t>
        </is>
      </c>
      <c r="O2977" t="n">
        <v>100</v>
      </c>
      <c r="P2977" t="n">
        <v>0.002987</v>
      </c>
      <c r="Q2977" t="n">
        <v>100</v>
      </c>
      <c r="R2977" t="n">
        <v>0.0982</v>
      </c>
      <c r="S2977">
        <f>IMAGE("https://mitra.stanford.edu/kundaje/oak/projects/neuro-variants/variant_position/credible/roussos_2024/variant_figures/roussos_2024.childhood.GLU/rs35921722_count_position.png",4,220,900)</f>
        <v/>
      </c>
      <c r="T2977">
        <f>IMAGE("https://mitra.stanford.edu/kundaje/oak/projects/neuro-variants/variant_position/credible/roussos_2024/variant_figures/roussos_2024.childhood.GLU/rs35921722_profile_position.png",4,220,900)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0.015147167566</v>
      </c>
      <c r="G2978" t="n">
        <v>0.5463277558776718</v>
      </c>
      <c r="H2978" t="n">
        <v>0.0143646772870917</v>
      </c>
      <c r="I2978" t="n">
        <v>0.2854798603335247</v>
      </c>
      <c r="J2978" t="n">
        <v>0.0002111943296897</v>
      </c>
      <c r="K2978" t="n">
        <v>0.9113308680643036</v>
      </c>
      <c r="L2978" t="b">
        <v>0</v>
      </c>
      <c r="M2978" t="b">
        <v>0</v>
      </c>
      <c r="N2978" t="inlineStr">
        <is>
          <t>alt</t>
        </is>
      </c>
      <c r="O2978" t="n">
        <v>-75</v>
      </c>
      <c r="P2978" t="n">
        <v>0.008710000000000001</v>
      </c>
      <c r="Q2978" t="n">
        <v>-90</v>
      </c>
      <c r="R2978" t="n">
        <v>0.1707</v>
      </c>
      <c r="S2978">
        <f>IMAGE("https://mitra.stanford.edu/kundaje/oak/projects/neuro-variants/variant_position/credible/roussos_2024/variant_figures/roussos_2024.childhood.GLU/rs9985883_count_position.png",4,220,900)</f>
        <v/>
      </c>
      <c r="T2978">
        <f>IMAGE("https://mitra.stanford.edu/kundaje/oak/projects/neuro-variants/variant_position/credible/roussos_2024/variant_figures/roussos_2024.childhood.GLU/rs9985883_profile_position.png",4,220,900)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0.233467746</v>
      </c>
      <c r="G2979" t="n">
        <v>0.0050743046278467</v>
      </c>
      <c r="H2979" t="n">
        <v>0.0322746448576407</v>
      </c>
      <c r="I2979" t="n">
        <v>0.0190440172224658</v>
      </c>
      <c r="J2979" t="n">
        <v>0.0351417062441406</v>
      </c>
      <c r="K2979" t="n">
        <v>0.4268405849982252</v>
      </c>
      <c r="L2979" t="b">
        <v>1</v>
      </c>
      <c r="M2979" t="b">
        <v>1</v>
      </c>
      <c r="N2979" t="inlineStr">
        <is>
          <t>alt</t>
        </is>
      </c>
      <c r="O2979" t="n">
        <v>-5</v>
      </c>
      <c r="P2979" t="n">
        <v>9.155e-05</v>
      </c>
      <c r="Q2979" t="n">
        <v>30</v>
      </c>
      <c r="R2979" t="n">
        <v>0.03418</v>
      </c>
      <c r="S2979">
        <f>IMAGE("https://mitra.stanford.edu/kundaje/oak/projects/neuro-variants/variant_position/credible/roussos_2024/variant_figures/roussos_2024.childhood.GLU/rs13152643_count_position.png",4,220,900)</f>
        <v/>
      </c>
      <c r="T2979">
        <f>IMAGE("https://mitra.stanford.edu/kundaje/oak/projects/neuro-variants/variant_position/credible/roussos_2024/variant_figures/roussos_2024.childhood.GLU/rs13152643_profile_position.png",4,220,900)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0.0171807682</v>
      </c>
      <c r="G2980" t="n">
        <v>0.4512950622216529</v>
      </c>
      <c r="H2980" t="n">
        <v>0.0233683554214608</v>
      </c>
      <c r="I2980" t="n">
        <v>0.056018000053079</v>
      </c>
      <c r="J2980" t="n">
        <v>0.0022159951373792</v>
      </c>
      <c r="K2980" t="n">
        <v>0.7574755949739314</v>
      </c>
      <c r="L2980" t="b">
        <v>0</v>
      </c>
      <c r="M2980" t="b">
        <v>0</v>
      </c>
      <c r="N2980" t="inlineStr">
        <is>
          <t>alt</t>
        </is>
      </c>
      <c r="O2980" t="n">
        <v>20</v>
      </c>
      <c r="P2980" t="n">
        <v>0.0004883</v>
      </c>
      <c r="Q2980" t="n">
        <v>-80</v>
      </c>
      <c r="R2980" t="n">
        <v>0.05463</v>
      </c>
      <c r="S2980">
        <f>IMAGE("https://mitra.stanford.edu/kundaje/oak/projects/neuro-variants/variant_position/credible/roussos_2024/variant_figures/roussos_2024.childhood.GLU/rs10022287_count_position.png",4,220,900)</f>
        <v/>
      </c>
      <c r="T2980">
        <f>IMAGE("https://mitra.stanford.edu/kundaje/oak/projects/neuro-variants/variant_position/credible/roussos_2024/variant_figures/roussos_2024.childhood.GLU/rs10022287_profile_position.png",4,220,900)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-0.07660549699999999</v>
      </c>
      <c r="G2981" t="n">
        <v>0.0898383404455413</v>
      </c>
      <c r="H2981" t="n">
        <v>0.0150613458456768</v>
      </c>
      <c r="I2981" t="n">
        <v>0.2461112769774112</v>
      </c>
      <c r="J2981" t="n">
        <v>0.0010621529459033</v>
      </c>
      <c r="K2981" t="n">
        <v>0.8223137592770681</v>
      </c>
      <c r="L2981" t="b">
        <v>0</v>
      </c>
      <c r="M2981" t="b">
        <v>0</v>
      </c>
      <c r="N2981" t="inlineStr">
        <is>
          <t>ref</t>
        </is>
      </c>
      <c r="O2981" t="n">
        <v>60</v>
      </c>
      <c r="P2981" t="n">
        <v>0.03754</v>
      </c>
      <c r="Q2981" t="n">
        <v>-40</v>
      </c>
      <c r="R2981" t="n">
        <v>0.02075</v>
      </c>
      <c r="S2981">
        <f>IMAGE("https://mitra.stanford.edu/kundaje/oak/projects/neuro-variants/variant_position/credible/roussos_2024/variant_figures/roussos_2024.childhood.GLU/rs10010927_count_position.png",4,220,900)</f>
        <v/>
      </c>
      <c r="T2981">
        <f>IMAGE("https://mitra.stanford.edu/kundaje/oak/projects/neuro-variants/variant_position/credible/roussos_2024/variant_figures/roussos_2024.childhood.GLU/rs10010927_profile_position.png",4,220,900)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-0.0579300282</v>
      </c>
      <c r="G2982" t="n">
        <v>0.1392248949255083</v>
      </c>
      <c r="H2982" t="n">
        <v>0.0103864468424487</v>
      </c>
      <c r="I2982" t="n">
        <v>0.6200438118909144</v>
      </c>
      <c r="J2982" t="n">
        <v>0.0002760979529602</v>
      </c>
      <c r="K2982" t="n">
        <v>0.8998829615541879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0.01233</v>
      </c>
      <c r="Q2982" t="n">
        <v>-40</v>
      </c>
      <c r="R2982" t="n">
        <v>0.03156</v>
      </c>
      <c r="S2982">
        <f>IMAGE("https://mitra.stanford.edu/kundaje/oak/projects/neuro-variants/variant_position/credible/roussos_2024/variant_figures/roussos_2024.childhood.GLU/rs28473456_count_position.png",4,220,900)</f>
        <v/>
      </c>
      <c r="T2982">
        <f>IMAGE("https://mitra.stanford.edu/kundaje/oak/projects/neuro-variants/variant_position/credible/roussos_2024/variant_figures/roussos_2024.childhood.GLU/rs28473456_profile_position.png",4,220,900)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-0.07463040679999999</v>
      </c>
      <c r="G2983" t="n">
        <v>0.0882631080140204</v>
      </c>
      <c r="H2983" t="n">
        <v>0.0114843996078349</v>
      </c>
      <c r="I2983" t="n">
        <v>0.5002403785036521</v>
      </c>
      <c r="J2983" t="n">
        <v>0.0002194360596288</v>
      </c>
      <c r="K2983" t="n">
        <v>0.9195651907985192</v>
      </c>
      <c r="L2983" t="b">
        <v>0</v>
      </c>
      <c r="M2983" t="b">
        <v>0</v>
      </c>
      <c r="N2983" t="inlineStr">
        <is>
          <t>ref</t>
        </is>
      </c>
      <c r="O2983" t="n">
        <v>100</v>
      </c>
      <c r="P2983" t="n">
        <v>0.004402</v>
      </c>
      <c r="Q2983" t="n">
        <v>-25</v>
      </c>
      <c r="R2983" t="n">
        <v>0.0649</v>
      </c>
      <c r="S2983">
        <f>IMAGE("https://mitra.stanford.edu/kundaje/oak/projects/neuro-variants/variant_position/credible/roussos_2024/variant_figures/roussos_2024.childhood.GLU/rs6854464_count_position.png",4,220,900)</f>
        <v/>
      </c>
      <c r="T2983">
        <f>IMAGE("https://mitra.stanford.edu/kundaje/oak/projects/neuro-variants/variant_position/credible/roussos_2024/variant_figures/roussos_2024.childhood.GLU/rs6854464_profile_position.png",4,220,900)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0.0618777763999999</v>
      </c>
      <c r="G2984" t="n">
        <v>0.1186111836723158</v>
      </c>
      <c r="H2984" t="n">
        <v>0.0112388705931371</v>
      </c>
      <c r="I2984" t="n">
        <v>0.5295692143216782</v>
      </c>
      <c r="J2984" t="n">
        <v>0.0016864639887911</v>
      </c>
      <c r="K2984" t="n">
        <v>0.7923613631672255</v>
      </c>
      <c r="L2984" t="b">
        <v>0</v>
      </c>
      <c r="M2984" t="b">
        <v>0</v>
      </c>
      <c r="N2984" t="inlineStr">
        <is>
          <t>alt</t>
        </is>
      </c>
      <c r="O2984" t="n">
        <v>20</v>
      </c>
      <c r="P2984" t="n">
        <v>0.001883</v>
      </c>
      <c r="Q2984" t="n">
        <v>100</v>
      </c>
      <c r="R2984" t="n">
        <v>0.08373999999999999</v>
      </c>
      <c r="S2984">
        <f>IMAGE("https://mitra.stanford.edu/kundaje/oak/projects/neuro-variants/variant_position/credible/roussos_2024/variant_figures/roussos_2024.childhood.GLU/rs34045875_count_position.png",4,220,900)</f>
        <v/>
      </c>
      <c r="T2984">
        <f>IMAGE("https://mitra.stanford.edu/kundaje/oak/projects/neuro-variants/variant_position/credible/roussos_2024/variant_figures/roussos_2024.childhood.GLU/rs34045875_profile_position.png",4,220,900)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-0.155479526</v>
      </c>
      <c r="G2985" t="n">
        <v>0.0174295643908123</v>
      </c>
      <c r="H2985" t="n">
        <v>0.0228873225521828</v>
      </c>
      <c r="I2985" t="n">
        <v>0.0742381292902435</v>
      </c>
      <c r="J2985" t="n">
        <v>0.1421842644771137</v>
      </c>
      <c r="K2985" t="n">
        <v>0.1986621571387055</v>
      </c>
      <c r="L2985" t="b">
        <v>1</v>
      </c>
      <c r="M2985" t="b">
        <v>0</v>
      </c>
      <c r="N2985" t="inlineStr">
        <is>
          <t>ref</t>
        </is>
      </c>
      <c r="O2985" t="n">
        <v>50</v>
      </c>
      <c r="P2985" t="n">
        <v>0.01779</v>
      </c>
      <c r="Q2985" t="n">
        <v>-90</v>
      </c>
      <c r="R2985" t="n">
        <v>0.1897</v>
      </c>
      <c r="S2985">
        <f>IMAGE("https://mitra.stanford.edu/kundaje/oak/projects/neuro-variants/variant_position/credible/roussos_2024/variant_figures/roussos_2024.childhood.GLU/rs13149553_count_position.png",4,220,900)</f>
        <v/>
      </c>
      <c r="T2985">
        <f>IMAGE("https://mitra.stanford.edu/kundaje/oak/projects/neuro-variants/variant_position/credible/roussos_2024/variant_figures/roussos_2024.childhood.GLU/rs13149553_profile_position.png",4,220,900)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-0.00023502814</v>
      </c>
      <c r="G2986" t="n">
        <v>0.8487753702620945</v>
      </c>
      <c r="H2986" t="n">
        <v>0.0299481981328599</v>
      </c>
      <c r="I2986" t="n">
        <v>0.0220595201914812</v>
      </c>
      <c r="J2986" t="n">
        <v>0.1208701206383219</v>
      </c>
      <c r="K2986" t="n">
        <v>0.222556102840761</v>
      </c>
      <c r="L2986" t="b">
        <v>0</v>
      </c>
      <c r="M2986" t="b">
        <v>0</v>
      </c>
      <c r="N2986" t="inlineStr">
        <is>
          <t>ref</t>
        </is>
      </c>
      <c r="O2986" t="n">
        <v>-85</v>
      </c>
      <c r="P2986" t="n">
        <v>0.0054</v>
      </c>
      <c r="Q2986" t="n">
        <v>-100</v>
      </c>
      <c r="R2986" t="n">
        <v>0.06995</v>
      </c>
      <c r="S2986">
        <f>IMAGE("https://mitra.stanford.edu/kundaje/oak/projects/neuro-variants/variant_position/credible/roussos_2024/variant_figures/roussos_2024.childhood.GLU/rs13149360_count_position.png",4,220,900)</f>
        <v/>
      </c>
      <c r="T2986">
        <f>IMAGE("https://mitra.stanford.edu/kundaje/oak/projects/neuro-variants/variant_position/credible/roussos_2024/variant_figures/roussos_2024.childhood.GLU/rs13149360_profile_position.png",4,220,900)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-0.0418568684</v>
      </c>
      <c r="G2987" t="n">
        <v>0.2354706212138515</v>
      </c>
      <c r="H2987" t="n">
        <v>0.0112208134656405</v>
      </c>
      <c r="I2987" t="n">
        <v>0.5143529434123876</v>
      </c>
      <c r="J2987" t="n">
        <v>0.0003523339548971</v>
      </c>
      <c r="K2987" t="n">
        <v>0.8997762117233236</v>
      </c>
      <c r="L2987" t="b">
        <v>0</v>
      </c>
      <c r="M2987" t="b">
        <v>0</v>
      </c>
      <c r="N2987" t="inlineStr">
        <is>
          <t>ref</t>
        </is>
      </c>
      <c r="O2987" t="n">
        <v>100</v>
      </c>
      <c r="P2987" t="n">
        <v>0.03952</v>
      </c>
      <c r="Q2987" t="n">
        <v>-55</v>
      </c>
      <c r="R2987" t="n">
        <v>0.1519</v>
      </c>
      <c r="S2987">
        <f>IMAGE("https://mitra.stanford.edu/kundaje/oak/projects/neuro-variants/variant_position/credible/roussos_2024/variant_figures/roussos_2024.childhood.GLU/rs3924385_count_position.png",4,220,900)</f>
        <v/>
      </c>
      <c r="T2987">
        <f>IMAGE("https://mitra.stanford.edu/kundaje/oak/projects/neuro-variants/variant_position/credible/roussos_2024/variant_figures/roussos_2024.childhood.GLU/rs3924385_profile_position.png",4,220,900)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0.0550794056</v>
      </c>
      <c r="G2988" t="n">
        <v>0.1498379194384785</v>
      </c>
      <c r="H2988" t="n">
        <v>0.011046459152624</v>
      </c>
      <c r="I2988" t="n">
        <v>0.5294923211410898</v>
      </c>
      <c r="J2988" t="n">
        <v>0.0056723706305953</v>
      </c>
      <c r="K2988" t="n">
        <v>0.6575337496554536</v>
      </c>
      <c r="L2988" t="b">
        <v>0</v>
      </c>
      <c r="M2988" t="b">
        <v>0</v>
      </c>
      <c r="N2988" t="inlineStr">
        <is>
          <t>alt</t>
        </is>
      </c>
      <c r="O2988" t="n">
        <v>-100</v>
      </c>
      <c r="P2988" t="n">
        <v>0.007934999999999999</v>
      </c>
      <c r="Q2988" t="n">
        <v>-100</v>
      </c>
      <c r="R2988" t="n">
        <v>0.09204</v>
      </c>
      <c r="S2988">
        <f>IMAGE("https://mitra.stanford.edu/kundaje/oak/projects/neuro-variants/variant_position/credible/roussos_2024/variant_figures/roussos_2024.childhood.GLU/rs28491432_count_position.png",4,220,900)</f>
        <v/>
      </c>
      <c r="T2988">
        <f>IMAGE("https://mitra.stanford.edu/kundaje/oak/projects/neuro-variants/variant_position/credible/roussos_2024/variant_figures/roussos_2024.childhood.GLU/rs28491432_profile_position.png",4,220,900)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0.029691185428</v>
      </c>
      <c r="G2989" t="n">
        <v>0.3405369493113678</v>
      </c>
      <c r="H2989" t="n">
        <v>0.0235071333103592</v>
      </c>
      <c r="I2989" t="n">
        <v>0.056046983883728</v>
      </c>
      <c r="J2989" t="n">
        <v>0.0306509936435657</v>
      </c>
      <c r="K2989" t="n">
        <v>0.4287874929617961</v>
      </c>
      <c r="L2989" t="b">
        <v>0</v>
      </c>
      <c r="M2989" t="b">
        <v>0</v>
      </c>
      <c r="N2989" t="inlineStr">
        <is>
          <t>alt</t>
        </is>
      </c>
      <c r="O2989" t="n">
        <v>60</v>
      </c>
      <c r="P2989" t="n">
        <v>0.00717</v>
      </c>
      <c r="Q2989" t="n">
        <v>100</v>
      </c>
      <c r="R2989" t="n">
        <v>0.1406</v>
      </c>
      <c r="S2989">
        <f>IMAGE("https://mitra.stanford.edu/kundaje/oak/projects/neuro-variants/variant_position/credible/roussos_2024/variant_figures/roussos_2024.childhood.GLU/rs13126801_count_position.png",4,220,900)</f>
        <v/>
      </c>
      <c r="T2989">
        <f>IMAGE("https://mitra.stanford.edu/kundaje/oak/projects/neuro-variants/variant_position/credible/roussos_2024/variant_figures/roussos_2024.childhood.GLU/rs13126801_profile_position.png",4,220,900)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-0.0116890981</v>
      </c>
      <c r="G2990" t="n">
        <v>0.6478823380372086</v>
      </c>
      <c r="H2990" t="n">
        <v>0.0451387350056894</v>
      </c>
      <c r="I2990" t="n">
        <v>0.0041646743602962</v>
      </c>
      <c r="J2990" t="n">
        <v>0.0250785539884821</v>
      </c>
      <c r="K2990" t="n">
        <v>0.4557403464729894</v>
      </c>
      <c r="L2990" t="b">
        <v>1</v>
      </c>
      <c r="M2990" t="b">
        <v>0</v>
      </c>
      <c r="N2990" t="inlineStr">
        <is>
          <t>ref</t>
        </is>
      </c>
      <c r="O2990" t="n">
        <v>-75</v>
      </c>
      <c r="P2990" t="n">
        <v>0.011475</v>
      </c>
      <c r="Q2990" t="n">
        <v>100</v>
      </c>
      <c r="R2990" t="n">
        <v>0.0978</v>
      </c>
      <c r="S2990">
        <f>IMAGE("https://mitra.stanford.edu/kundaje/oak/projects/neuro-variants/variant_position/credible/roussos_2024/variant_figures/roussos_2024.childhood.GLU/rs80143073_count_position.png",4,220,900)</f>
        <v/>
      </c>
      <c r="T2990">
        <f>IMAGE("https://mitra.stanford.edu/kundaje/oak/projects/neuro-variants/variant_position/credible/roussos_2024/variant_figures/roussos_2024.childhood.GLU/rs80143073_profile_position.png",4,220,900)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0.01306952432</v>
      </c>
      <c r="G2991" t="n">
        <v>0.5880699148674385</v>
      </c>
      <c r="H2991" t="n">
        <v>0.0206880343984231</v>
      </c>
      <c r="I2991" t="n">
        <v>0.0867458954933881</v>
      </c>
      <c r="J2991" t="n">
        <v>0.0022469016246509</v>
      </c>
      <c r="K2991" t="n">
        <v>0.7572810809816418</v>
      </c>
      <c r="L2991" t="b">
        <v>0</v>
      </c>
      <c r="M2991" t="b">
        <v>0</v>
      </c>
      <c r="N2991" t="inlineStr">
        <is>
          <t>alt</t>
        </is>
      </c>
      <c r="O2991" t="n">
        <v>0</v>
      </c>
      <c r="P2991" t="n">
        <v>0</v>
      </c>
      <c r="Q2991" t="n">
        <v>-70</v>
      </c>
      <c r="R2991" t="n">
        <v>0.0426</v>
      </c>
      <c r="S2991">
        <f>IMAGE("https://mitra.stanford.edu/kundaje/oak/projects/neuro-variants/variant_position/credible/roussos_2024/variant_figures/roussos_2024.childhood.GLU/rs28576298_count_position.png",4,220,900)</f>
        <v/>
      </c>
      <c r="T2991">
        <f>IMAGE("https://mitra.stanford.edu/kundaje/oak/projects/neuro-variants/variant_position/credible/roussos_2024/variant_figures/roussos_2024.childhood.GLU/rs28576298_profile_position.png",4,220,900)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0.00346734982</v>
      </c>
      <c r="G2992" t="n">
        <v>0.7916861778701129</v>
      </c>
      <c r="H2992" t="n">
        <v>0.016653322225475</v>
      </c>
      <c r="I2992" t="n">
        <v>0.1786673342664144</v>
      </c>
      <c r="J2992" t="n">
        <v>0.0336829200449174</v>
      </c>
      <c r="K2992" t="n">
        <v>0.4077018068121343</v>
      </c>
      <c r="L2992" t="b">
        <v>0</v>
      </c>
      <c r="M2992" t="b">
        <v>0</v>
      </c>
      <c r="N2992" t="inlineStr">
        <is>
          <t>alt</t>
        </is>
      </c>
      <c r="O2992" t="n">
        <v>-100</v>
      </c>
      <c r="P2992" t="n">
        <v>0.02205</v>
      </c>
      <c r="Q2992" t="n">
        <v>-100</v>
      </c>
      <c r="R2992" t="n">
        <v>0.2319</v>
      </c>
      <c r="S2992">
        <f>IMAGE("https://mitra.stanford.edu/kundaje/oak/projects/neuro-variants/variant_position/credible/roussos_2024/variant_figures/roussos_2024.childhood.GLU/rs59815841_count_position.png",4,220,900)</f>
        <v/>
      </c>
      <c r="T2992">
        <f>IMAGE("https://mitra.stanford.edu/kundaje/oak/projects/neuro-variants/variant_position/credible/roussos_2024/variant_figures/roussos_2024.childhood.GLU/rs59815841_profile_position.png",4,220,900)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-0.0694201634</v>
      </c>
      <c r="G2993" t="n">
        <v>0.1052514955553222</v>
      </c>
      <c r="H2993" t="n">
        <v>0.0323801776090002</v>
      </c>
      <c r="I2993" t="n">
        <v>0.0160982894471659</v>
      </c>
      <c r="J2993" t="n">
        <v>0.002353013897617</v>
      </c>
      <c r="K2993" t="n">
        <v>0.7613432618995731</v>
      </c>
      <c r="L2993" t="b">
        <v>0</v>
      </c>
      <c r="M2993" t="b">
        <v>0</v>
      </c>
      <c r="N2993" t="inlineStr">
        <is>
          <t>ref</t>
        </is>
      </c>
      <c r="O2993" t="n">
        <v>-45</v>
      </c>
      <c r="P2993" t="n">
        <v>0.003632</v>
      </c>
      <c r="Q2993" t="n">
        <v>90</v>
      </c>
      <c r="R2993" t="n">
        <v>0.06033</v>
      </c>
      <c r="S2993">
        <f>IMAGE("https://mitra.stanford.edu/kundaje/oak/projects/neuro-variants/variant_position/credible/roussos_2024/variant_figures/roussos_2024.childhood.GLU/rs7697283_count_position.png",4,220,900)</f>
        <v/>
      </c>
      <c r="T2993">
        <f>IMAGE("https://mitra.stanford.edu/kundaje/oak/projects/neuro-variants/variant_position/credible/roussos_2024/variant_figures/roussos_2024.childhood.GLU/rs7697283_profile_position.png",4,220,900)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0.0611897477999999</v>
      </c>
      <c r="G2994" t="n">
        <v>0.1228337510539674</v>
      </c>
      <c r="H2994" t="n">
        <v>0.0140289276158908</v>
      </c>
      <c r="I2994" t="n">
        <v>0.3031827471337523</v>
      </c>
      <c r="J2994" t="n">
        <v>0.0596433391368848</v>
      </c>
      <c r="K2994" t="n">
        <v>0.3353040555318275</v>
      </c>
      <c r="L2994" t="b">
        <v>0</v>
      </c>
      <c r="M2994" t="b">
        <v>0</v>
      </c>
      <c r="N2994" t="inlineStr">
        <is>
          <t>alt</t>
        </is>
      </c>
      <c r="O2994" t="n">
        <v>-100</v>
      </c>
      <c r="P2994" t="n">
        <v>0.02484</v>
      </c>
      <c r="Q2994" t="n">
        <v>-55</v>
      </c>
      <c r="R2994" t="n">
        <v>0.06469999999999999</v>
      </c>
      <c r="S2994">
        <f>IMAGE("https://mitra.stanford.edu/kundaje/oak/projects/neuro-variants/variant_position/credible/roussos_2024/variant_figures/roussos_2024.childhood.GLU/rs9784438_count_position.png",4,220,900)</f>
        <v/>
      </c>
      <c r="T2994">
        <f>IMAGE("https://mitra.stanford.edu/kundaje/oak/projects/neuro-variants/variant_position/credible/roussos_2024/variant_figures/roussos_2024.childhood.GLU/rs9784438_profile_position.png",4,220,900)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0.008928526880000001</v>
      </c>
      <c r="G2995" t="n">
        <v>0.6802234750449854</v>
      </c>
      <c r="H2995" t="n">
        <v>0.009840230211655299</v>
      </c>
      <c r="I2995" t="n">
        <v>0.6708139034405352</v>
      </c>
      <c r="J2995" t="n">
        <v>0.0008674420760917</v>
      </c>
      <c r="K2995" t="n">
        <v>0.8355600906238617</v>
      </c>
      <c r="L2995" t="b">
        <v>0</v>
      </c>
      <c r="M2995" t="b">
        <v>0</v>
      </c>
      <c r="N2995" t="inlineStr">
        <is>
          <t>alt</t>
        </is>
      </c>
      <c r="O2995" t="n">
        <v>-70</v>
      </c>
      <c r="P2995" t="n">
        <v>0.00401</v>
      </c>
      <c r="Q2995" t="n">
        <v>55</v>
      </c>
      <c r="R2995" t="n">
        <v>0.05878</v>
      </c>
      <c r="S2995">
        <f>IMAGE("https://mitra.stanford.edu/kundaje/oak/projects/neuro-variants/variant_position/credible/roussos_2024/variant_figures/roussos_2024.childhood.GLU/rs7434297_count_position.png",4,220,900)</f>
        <v/>
      </c>
      <c r="T2995">
        <f>IMAGE("https://mitra.stanford.edu/kundaje/oak/projects/neuro-variants/variant_position/credible/roussos_2024/variant_figures/roussos_2024.childhood.GLU/rs7434297_profile_position.png",4,220,900)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-0.0052241293859999</v>
      </c>
      <c r="G2996" t="n">
        <v>0.7407462218150013</v>
      </c>
      <c r="H2996" t="n">
        <v>0.0294665988078573</v>
      </c>
      <c r="I2996" t="n">
        <v>0.0230352810750938</v>
      </c>
      <c r="J2996" t="n">
        <v>0.0001133237866627</v>
      </c>
      <c r="K2996" t="n">
        <v>0.9406986137809804</v>
      </c>
      <c r="L2996" t="b">
        <v>0</v>
      </c>
      <c r="M2996" t="b">
        <v>0</v>
      </c>
      <c r="N2996" t="inlineStr">
        <is>
          <t>ref</t>
        </is>
      </c>
      <c r="O2996" t="n">
        <v>80</v>
      </c>
      <c r="P2996" t="n">
        <v>0.003487</v>
      </c>
      <c r="Q2996" t="n">
        <v>100</v>
      </c>
      <c r="R2996" t="n">
        <v>0.09485</v>
      </c>
      <c r="S2996">
        <f>IMAGE("https://mitra.stanford.edu/kundaje/oak/projects/neuro-variants/variant_position/credible/roussos_2024/variant_figures/roussos_2024.childhood.GLU/rs13146507_count_position.png",4,220,900)</f>
        <v/>
      </c>
      <c r="T2996">
        <f>IMAGE("https://mitra.stanford.edu/kundaje/oak/projects/neuro-variants/variant_position/credible/roussos_2024/variant_figures/roussos_2024.childhood.GLU/rs13146507_profile_position.png",4,220,900)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-0.009859811459999999</v>
      </c>
      <c r="G2997" t="n">
        <v>0.6813123418786279</v>
      </c>
      <c r="H2997" t="n">
        <v>0.0199050271624057</v>
      </c>
      <c r="I2997" t="n">
        <v>0.1042738337326568</v>
      </c>
      <c r="J2997" t="n">
        <v>0.0020604324847785</v>
      </c>
      <c r="K2997" t="n">
        <v>0.7673873344361989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0.02814</v>
      </c>
      <c r="Q2997" t="n">
        <v>100</v>
      </c>
      <c r="R2997" t="n">
        <v>0.1599</v>
      </c>
      <c r="S2997">
        <f>IMAGE("https://mitra.stanford.edu/kundaje/oak/projects/neuro-variants/variant_position/credible/roussos_2024/variant_figures/roussos_2024.childhood.GLU/rs77453134_count_position.png",4,220,900)</f>
        <v/>
      </c>
      <c r="T2997">
        <f>IMAGE("https://mitra.stanford.edu/kundaje/oak/projects/neuro-variants/variant_position/credible/roussos_2024/variant_figures/roussos_2024.childhood.GLU/rs77453134_profile_position.png",4,220,900)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0.256100948</v>
      </c>
      <c r="G2998" t="n">
        <v>0.0036555222225183</v>
      </c>
      <c r="H2998" t="n">
        <v>0.0357169298792797</v>
      </c>
      <c r="I2998" t="n">
        <v>0.0106895214915129</v>
      </c>
      <c r="J2998" t="n">
        <v>0.0102537422605004</v>
      </c>
      <c r="K2998" t="n">
        <v>0.5843169055883896</v>
      </c>
      <c r="L2998" t="b">
        <v>1</v>
      </c>
      <c r="M2998" t="b">
        <v>1</v>
      </c>
      <c r="N2998" t="inlineStr">
        <is>
          <t>alt</t>
        </is>
      </c>
      <c r="O2998" t="n">
        <v>90</v>
      </c>
      <c r="P2998" t="n">
        <v>0.009520000000000001</v>
      </c>
      <c r="Q2998" t="n">
        <v>-85</v>
      </c>
      <c r="R2998" t="n">
        <v>0.01953</v>
      </c>
      <c r="S2998">
        <f>IMAGE("https://mitra.stanford.edu/kundaje/oak/projects/neuro-variants/variant_position/credible/roussos_2024/variant_figures/roussos_2024.childhood.GLU/rs10019288_count_position.png",4,220,900)</f>
        <v/>
      </c>
      <c r="T2998">
        <f>IMAGE("https://mitra.stanford.edu/kundaje/oak/projects/neuro-variants/variant_position/credible/roussos_2024/variant_figures/roussos_2024.childhood.GLU/rs10019288_profile_position.png",4,220,900)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-0.119781156</v>
      </c>
      <c r="G2999" t="n">
        <v>0.0322049477132359</v>
      </c>
      <c r="H2999" t="n">
        <v>0.0304184995347918</v>
      </c>
      <c r="I2999" t="n">
        <v>0.0231342963367398</v>
      </c>
      <c r="J2999" t="n">
        <v>0.0051593229418854</v>
      </c>
      <c r="K2999" t="n">
        <v>0.67590900299804</v>
      </c>
      <c r="L2999" t="b">
        <v>0</v>
      </c>
      <c r="M2999" t="b">
        <v>0</v>
      </c>
      <c r="N2999" t="inlineStr">
        <is>
          <t>ref</t>
        </is>
      </c>
      <c r="O2999" t="n">
        <v>-15</v>
      </c>
      <c r="P2999" t="n">
        <v>0.002508</v>
      </c>
      <c r="Q2999" t="n">
        <v>-90</v>
      </c>
      <c r="R2999" t="n">
        <v>0.176</v>
      </c>
      <c r="S2999">
        <f>IMAGE("https://mitra.stanford.edu/kundaje/oak/projects/neuro-variants/variant_position/credible/roussos_2024/variant_figures/roussos_2024.childhood.GLU/rs13102895_count_position.png",4,220,900)</f>
        <v/>
      </c>
      <c r="T2999">
        <f>IMAGE("https://mitra.stanford.edu/kundaje/oak/projects/neuro-variants/variant_position/credible/roussos_2024/variant_figures/roussos_2024.childhood.GLU/rs13102895_profile_position.png",4,220,900)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-0.0102334366</v>
      </c>
      <c r="G3000" t="n">
        <v>0.6598445406322467</v>
      </c>
      <c r="H3000" t="n">
        <v>0.024260068938313</v>
      </c>
      <c r="I3000" t="n">
        <v>0.0487334178365451</v>
      </c>
      <c r="J3000" t="n">
        <v>0.0003440922249579</v>
      </c>
      <c r="K3000" t="n">
        <v>0.8851210654527426</v>
      </c>
      <c r="L3000" t="b">
        <v>0</v>
      </c>
      <c r="M3000" t="b">
        <v>0</v>
      </c>
      <c r="N3000" t="inlineStr">
        <is>
          <t>ref</t>
        </is>
      </c>
      <c r="O3000" t="n">
        <v>-90</v>
      </c>
      <c r="P3000" t="n">
        <v>0.0006332</v>
      </c>
      <c r="Q3000" t="n">
        <v>-100</v>
      </c>
      <c r="R3000" t="n">
        <v>0.0973</v>
      </c>
      <c r="S3000">
        <f>IMAGE("https://mitra.stanford.edu/kundaje/oak/projects/neuro-variants/variant_position/credible/roussos_2024/variant_figures/roussos_2024.childhood.GLU/rs7435170_count_position.png",4,220,900)</f>
        <v/>
      </c>
      <c r="T3000">
        <f>IMAGE("https://mitra.stanford.edu/kundaje/oak/projects/neuro-variants/variant_position/credible/roussos_2024/variant_figures/roussos_2024.childhood.GLU/rs7435170_profile_position.png",4,220,900)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0.0668102820999999</v>
      </c>
      <c r="G3001" t="n">
        <v>0.1060426900152408</v>
      </c>
      <c r="H3001" t="n">
        <v>0.0137689288559122</v>
      </c>
      <c r="I3001" t="n">
        <v>0.3195529862358336</v>
      </c>
      <c r="J3001" t="n">
        <v>0.1408470437944924</v>
      </c>
      <c r="K3001" t="n">
        <v>0.1989775602858679</v>
      </c>
      <c r="L3001" t="b">
        <v>0</v>
      </c>
      <c r="M3001" t="b">
        <v>0</v>
      </c>
      <c r="N3001" t="inlineStr">
        <is>
          <t>alt</t>
        </is>
      </c>
      <c r="O3001" t="n">
        <v>-10</v>
      </c>
      <c r="P3001" t="n">
        <v>0.001724</v>
      </c>
      <c r="Q3001" t="n">
        <v>40</v>
      </c>
      <c r="R3001" t="n">
        <v>0.1123</v>
      </c>
      <c r="S3001">
        <f>IMAGE("https://mitra.stanford.edu/kundaje/oak/projects/neuro-variants/variant_position/credible/roussos_2024/variant_figures/roussos_2024.childhood.GLU/rs7435994_count_position.png",4,220,900)</f>
        <v/>
      </c>
      <c r="T3001">
        <f>IMAGE("https://mitra.stanford.edu/kundaje/oak/projects/neuro-variants/variant_position/credible/roussos_2024/variant_figures/roussos_2024.childhood.GLU/rs7435994_profile_position.png",4,220,900)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0.0520835184</v>
      </c>
      <c r="G3002" t="n">
        <v>0.1658863271263393</v>
      </c>
      <c r="H3002" t="n">
        <v>0.0179752555234155</v>
      </c>
      <c r="I3002" t="n">
        <v>0.1437910285521089</v>
      </c>
      <c r="J3002" t="n">
        <v>0.1208021263663242</v>
      </c>
      <c r="K3002" t="n">
        <v>0.2196327902210454</v>
      </c>
      <c r="L3002" t="b">
        <v>0</v>
      </c>
      <c r="M3002" t="b">
        <v>0</v>
      </c>
      <c r="N3002" t="inlineStr">
        <is>
          <t>alt</t>
        </is>
      </c>
      <c r="O3002" t="n">
        <v>-45</v>
      </c>
      <c r="P3002" t="n">
        <v>0.002258</v>
      </c>
      <c r="Q3002" t="n">
        <v>0</v>
      </c>
      <c r="R3002" t="n">
        <v>0</v>
      </c>
      <c r="S3002">
        <f>IMAGE("https://mitra.stanford.edu/kundaje/oak/projects/neuro-variants/variant_position/credible/roussos_2024/variant_figures/roussos_2024.childhood.GLU/rs28581574_count_position.png",4,220,900)</f>
        <v/>
      </c>
      <c r="T3002">
        <f>IMAGE("https://mitra.stanford.edu/kundaje/oak/projects/neuro-variants/variant_position/credible/roussos_2024/variant_figures/roussos_2024.childhood.GLU/rs28581574_profile_position.png",4,220,900)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0.01421082818</v>
      </c>
      <c r="G3003" t="n">
        <v>0.5549623001157168</v>
      </c>
      <c r="H3003" t="n">
        <v>0.0168291848357711</v>
      </c>
      <c r="I3003" t="n">
        <v>0.1721661332795713</v>
      </c>
      <c r="J3003" t="n">
        <v>0.000892167265909</v>
      </c>
      <c r="K3003" t="n">
        <v>0.8588966273942039</v>
      </c>
      <c r="L3003" t="b">
        <v>0</v>
      </c>
      <c r="M3003" t="b">
        <v>0</v>
      </c>
      <c r="N3003" t="inlineStr">
        <is>
          <t>alt</t>
        </is>
      </c>
      <c r="O3003" t="n">
        <v>25</v>
      </c>
      <c r="P3003" t="n">
        <v>0.003738</v>
      </c>
      <c r="Q3003" t="n">
        <v>-35</v>
      </c>
      <c r="R3003" t="n">
        <v>0.04483</v>
      </c>
      <c r="S3003">
        <f>IMAGE("https://mitra.stanford.edu/kundaje/oak/projects/neuro-variants/variant_position/credible/roussos_2024/variant_figures/roussos_2024.childhood.GLU/rs35684722_count_position.png",4,220,900)</f>
        <v/>
      </c>
      <c r="T3003">
        <f>IMAGE("https://mitra.stanford.edu/kundaje/oak/projects/neuro-variants/variant_position/credible/roussos_2024/variant_figures/roussos_2024.childhood.GLU/rs35684722_profile_position.png",4,220,900)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-0.0725212668</v>
      </c>
      <c r="G3004" t="n">
        <v>0.08869777872019551</v>
      </c>
      <c r="H3004" t="n">
        <v>0.012345375360399</v>
      </c>
      <c r="I3004" t="n">
        <v>0.4160366452108486</v>
      </c>
      <c r="J3004" t="n">
        <v>0.006367766594208</v>
      </c>
      <c r="K3004" t="n">
        <v>0.648439519044735</v>
      </c>
      <c r="L3004" t="b">
        <v>0</v>
      </c>
      <c r="M3004" t="b">
        <v>0</v>
      </c>
      <c r="N3004" t="inlineStr">
        <is>
          <t>ref</t>
        </is>
      </c>
      <c r="O3004" t="n">
        <v>-70</v>
      </c>
      <c r="P3004" t="n">
        <v>0.008699999999999999</v>
      </c>
      <c r="Q3004" t="n">
        <v>95</v>
      </c>
      <c r="R3004" t="n">
        <v>0.1619</v>
      </c>
      <c r="S3004">
        <f>IMAGE("https://mitra.stanford.edu/kundaje/oak/projects/neuro-variants/variant_position/credible/roussos_2024/variant_figures/roussos_2024.childhood.GLU/rs58186080_count_position.png",4,220,900)</f>
        <v/>
      </c>
      <c r="T3004">
        <f>IMAGE("https://mitra.stanford.edu/kundaje/oak/projects/neuro-variants/variant_position/credible/roussos_2024/variant_figures/roussos_2024.childhood.GLU/rs58186080_profile_position.png",4,220,900)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-0.090088168</v>
      </c>
      <c r="G3005" t="n">
        <v>0.06750476852920829</v>
      </c>
      <c r="H3005" t="n">
        <v>0.014514325219695</v>
      </c>
      <c r="I3005" t="n">
        <v>0.2740047143607901</v>
      </c>
      <c r="J3005" t="n">
        <v>0.0469376822194978</v>
      </c>
      <c r="K3005" t="n">
        <v>0.3616466533848133</v>
      </c>
      <c r="L3005" t="b">
        <v>0</v>
      </c>
      <c r="M3005" t="b">
        <v>0</v>
      </c>
      <c r="N3005" t="inlineStr">
        <is>
          <t>ref</t>
        </is>
      </c>
      <c r="O3005" t="n">
        <v>100</v>
      </c>
      <c r="P3005" t="n">
        <v>0.008840000000000001</v>
      </c>
      <c r="Q3005" t="n">
        <v>90</v>
      </c>
      <c r="R3005" t="n">
        <v>0.1245</v>
      </c>
      <c r="S3005">
        <f>IMAGE("https://mitra.stanford.edu/kundaje/oak/projects/neuro-variants/variant_position/credible/roussos_2024/variant_figures/roussos_2024.childhood.GLU/rs10028563_count_position.png",4,220,900)</f>
        <v/>
      </c>
      <c r="T3005">
        <f>IMAGE("https://mitra.stanford.edu/kundaje/oak/projects/neuro-variants/variant_position/credible/roussos_2024/variant_figures/roussos_2024.childhood.GLU/rs10028563_profile_position.png",4,220,900)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0.028391723</v>
      </c>
      <c r="G3006" t="n">
        <v>0.3313976136921819</v>
      </c>
      <c r="H3006" t="n">
        <v>0.010656783361134</v>
      </c>
      <c r="I3006" t="n">
        <v>0.5670321410833293</v>
      </c>
      <c r="J3006" t="n">
        <v>0.0008612607786373</v>
      </c>
      <c r="K3006" t="n">
        <v>0.839041707712051</v>
      </c>
      <c r="L3006" t="b">
        <v>0</v>
      </c>
      <c r="M3006" t="b">
        <v>0</v>
      </c>
      <c r="N3006" t="inlineStr">
        <is>
          <t>alt</t>
        </is>
      </c>
      <c r="O3006" t="n">
        <v>-100</v>
      </c>
      <c r="P3006" t="n">
        <v>0.0199</v>
      </c>
      <c r="Q3006" t="n">
        <v>-100</v>
      </c>
      <c r="R3006" t="n">
        <v>0.07947</v>
      </c>
      <c r="S3006">
        <f>IMAGE("https://mitra.stanford.edu/kundaje/oak/projects/neuro-variants/variant_position/credible/roussos_2024/variant_figures/roussos_2024.childhood.GLU/rs6531299_count_position.png",4,220,900)</f>
        <v/>
      </c>
      <c r="T3006">
        <f>IMAGE("https://mitra.stanford.edu/kundaje/oak/projects/neuro-variants/variant_position/credible/roussos_2024/variant_figures/roussos_2024.childhood.GLU/rs6531299_profile_position.png",4,220,900)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0.0419953548</v>
      </c>
      <c r="G3007" t="n">
        <v>0.2270788155464239</v>
      </c>
      <c r="H3007" t="n">
        <v>0.0229973963723945</v>
      </c>
      <c r="I3007" t="n">
        <v>0.0595746445832931</v>
      </c>
      <c r="J3007" t="n">
        <v>0.0032874200294641</v>
      </c>
      <c r="K3007" t="n">
        <v>0.7235634028215373</v>
      </c>
      <c r="L3007" t="b">
        <v>0</v>
      </c>
      <c r="M3007" t="b">
        <v>0</v>
      </c>
      <c r="N3007" t="inlineStr">
        <is>
          <t>alt</t>
        </is>
      </c>
      <c r="O3007" t="n">
        <v>50</v>
      </c>
      <c r="P3007" t="n">
        <v>0.001987</v>
      </c>
      <c r="Q3007" t="n">
        <v>-85</v>
      </c>
      <c r="R3007" t="n">
        <v>0.1113</v>
      </c>
      <c r="S3007">
        <f>IMAGE("https://mitra.stanford.edu/kundaje/oak/projects/neuro-variants/variant_position/credible/roussos_2024/variant_figures/roussos_2024.childhood.GLU/rs67368133_count_position.png",4,220,900)</f>
        <v/>
      </c>
      <c r="T3007">
        <f>IMAGE("https://mitra.stanford.edu/kundaje/oak/projects/neuro-variants/variant_position/credible/roussos_2024/variant_figures/roussos_2024.childhood.GLU/rs67368133_profile_position.png",4,220,900)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-0.0150848086</v>
      </c>
      <c r="G3008" t="n">
        <v>0.4589869630530805</v>
      </c>
      <c r="H3008" t="n">
        <v>0.0226253627515727</v>
      </c>
      <c r="I3008" t="n">
        <v>0.0631346334487545</v>
      </c>
      <c r="J3008" t="n">
        <v>0.0034707985206094</v>
      </c>
      <c r="K3008" t="n">
        <v>0.719721855994701</v>
      </c>
      <c r="L3008" t="b">
        <v>0</v>
      </c>
      <c r="M3008" t="b">
        <v>0</v>
      </c>
      <c r="N3008" t="inlineStr">
        <is>
          <t>ref</t>
        </is>
      </c>
      <c r="O3008" t="n">
        <v>-90</v>
      </c>
      <c r="P3008" t="n">
        <v>0.006973</v>
      </c>
      <c r="Q3008" t="n">
        <v>-65</v>
      </c>
      <c r="R3008" t="n">
        <v>0.09039999999999999</v>
      </c>
      <c r="S3008">
        <f>IMAGE("https://mitra.stanford.edu/kundaje/oak/projects/neuro-variants/variant_position/credible/roussos_2024/variant_figures/roussos_2024.childhood.GLU/rs6834907_count_position.png",4,220,900)</f>
        <v/>
      </c>
      <c r="T3008">
        <f>IMAGE("https://mitra.stanford.edu/kundaje/oak/projects/neuro-variants/variant_position/credible/roussos_2024/variant_figures/roussos_2024.childhood.GLU/rs6834907_profile_position.png",4,220,900)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0.1138689359999999</v>
      </c>
      <c r="G3009" t="n">
        <v>0.0321417472307379</v>
      </c>
      <c r="H3009" t="n">
        <v>0.0138289959490565</v>
      </c>
      <c r="I3009" t="n">
        <v>0.3093060360275905</v>
      </c>
      <c r="J3009" t="n">
        <v>0.0609012331688421</v>
      </c>
      <c r="K3009" t="n">
        <v>0.3212901427132</v>
      </c>
      <c r="L3009" t="b">
        <v>0</v>
      </c>
      <c r="M3009" t="b">
        <v>0</v>
      </c>
      <c r="N3009" t="inlineStr">
        <is>
          <t>alt</t>
        </is>
      </c>
      <c r="O3009" t="n">
        <v>-95</v>
      </c>
      <c r="P3009" t="n">
        <v>0.015236</v>
      </c>
      <c r="Q3009" t="n">
        <v>-95</v>
      </c>
      <c r="R3009" t="n">
        <v>0.4043</v>
      </c>
      <c r="S3009">
        <f>IMAGE("https://mitra.stanford.edu/kundaje/oak/projects/neuro-variants/variant_position/credible/roussos_2024/variant_figures/roussos_2024.childhood.GLU/rs13110566_count_position.png",4,220,900)</f>
        <v/>
      </c>
      <c r="T3009">
        <f>IMAGE("https://mitra.stanford.edu/kundaje/oak/projects/neuro-variants/variant_position/credible/roussos_2024/variant_figures/roussos_2024.childhood.GLU/rs13110566_profile_position.png",4,220,900)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0.0544828839999999</v>
      </c>
      <c r="G3010" t="n">
        <v>0.1578409998911383</v>
      </c>
      <c r="H3010" t="n">
        <v>0.0124996371144137</v>
      </c>
      <c r="I3010" t="n">
        <v>0.4127100635934242</v>
      </c>
      <c r="J3010" t="n">
        <v>0.0141180833857026</v>
      </c>
      <c r="K3010" t="n">
        <v>0.537586643832823</v>
      </c>
      <c r="L3010" t="b">
        <v>0</v>
      </c>
      <c r="M3010" t="b">
        <v>0</v>
      </c>
      <c r="N3010" t="inlineStr">
        <is>
          <t>alt</t>
        </is>
      </c>
      <c r="O3010" t="n">
        <v>-15</v>
      </c>
      <c r="P3010" t="n">
        <v>0.0005913</v>
      </c>
      <c r="Q3010" t="n">
        <v>-60</v>
      </c>
      <c r="R3010" t="n">
        <v>0.0665</v>
      </c>
      <c r="S3010">
        <f>IMAGE("https://mitra.stanford.edu/kundaje/oak/projects/neuro-variants/variant_position/credible/roussos_2024/variant_figures/roussos_2024.childhood.GLU/rs34522421_count_position.png",4,220,900)</f>
        <v/>
      </c>
      <c r="T3010">
        <f>IMAGE("https://mitra.stanford.edu/kundaje/oak/projects/neuro-variants/variant_position/credible/roussos_2024/variant_figures/roussos_2024.childhood.GLU/rs34522421_profile_position.png",4,220,900)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-0.06939571999999999</v>
      </c>
      <c r="G3011" t="n">
        <v>0.1017175743293054</v>
      </c>
      <c r="H3011" t="n">
        <v>0.0116565665109954</v>
      </c>
      <c r="I3011" t="n">
        <v>0.4777755065511948</v>
      </c>
      <c r="J3011" t="n">
        <v>0.0041218951857994</v>
      </c>
      <c r="K3011" t="n">
        <v>0.6987072753600345</v>
      </c>
      <c r="L3011" t="b">
        <v>0</v>
      </c>
      <c r="M3011" t="b">
        <v>0</v>
      </c>
      <c r="N3011" t="inlineStr">
        <is>
          <t>ref</t>
        </is>
      </c>
      <c r="O3011" t="n">
        <v>-60</v>
      </c>
      <c r="P3011" t="n">
        <v>0.00839</v>
      </c>
      <c r="Q3011" t="n">
        <v>100</v>
      </c>
      <c r="R3011" t="n">
        <v>0.1755</v>
      </c>
      <c r="S3011">
        <f>IMAGE("https://mitra.stanford.edu/kundaje/oak/projects/neuro-variants/variant_position/credible/roussos_2024/variant_figures/roussos_2024.childhood.GLU/rs7683171_count_position.png",4,220,900)</f>
        <v/>
      </c>
      <c r="T3011">
        <f>IMAGE("https://mitra.stanford.edu/kundaje/oak/projects/neuro-variants/variant_position/credible/roussos_2024/variant_figures/roussos_2024.childhood.GLU/rs7683171_profile_position.png",4,220,900)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-0.086448729</v>
      </c>
      <c r="G3012" t="n">
        <v>0.06630626401054129</v>
      </c>
      <c r="H3012" t="n">
        <v>0.0176965066023024</v>
      </c>
      <c r="I3012" t="n">
        <v>0.150010672760039</v>
      </c>
      <c r="J3012" t="n">
        <v>0.0245263580825614</v>
      </c>
      <c r="K3012" t="n">
        <v>0.4818460307849539</v>
      </c>
      <c r="L3012" t="b">
        <v>0</v>
      </c>
      <c r="M3012" t="b">
        <v>0</v>
      </c>
      <c r="N3012" t="inlineStr">
        <is>
          <t>ref</t>
        </is>
      </c>
      <c r="O3012" t="n">
        <v>-70</v>
      </c>
      <c r="P3012" t="n">
        <v>0.004578</v>
      </c>
      <c r="Q3012" t="n">
        <v>-55</v>
      </c>
      <c r="R3012" t="n">
        <v>0.04932</v>
      </c>
      <c r="S3012">
        <f>IMAGE("https://mitra.stanford.edu/kundaje/oak/projects/neuro-variants/variant_position/credible/roussos_2024/variant_figures/roussos_2024.childhood.GLU/rs34250047_count_position.png",4,220,900)</f>
        <v/>
      </c>
      <c r="T3012">
        <f>IMAGE("https://mitra.stanford.edu/kundaje/oak/projects/neuro-variants/variant_position/credible/roussos_2024/variant_figures/roussos_2024.childhood.GLU/rs34250047_profile_position.png",4,220,900)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0.0729543106</v>
      </c>
      <c r="G3013" t="n">
        <v>0.0875958484492758</v>
      </c>
      <c r="H3013" t="n">
        <v>0.0143244697847063</v>
      </c>
      <c r="I3013" t="n">
        <v>0.2810244088154871</v>
      </c>
      <c r="J3013" t="n">
        <v>0.0028279435853585</v>
      </c>
      <c r="K3013" t="n">
        <v>0.7296567947906436</v>
      </c>
      <c r="L3013" t="b">
        <v>0</v>
      </c>
      <c r="M3013" t="b">
        <v>0</v>
      </c>
      <c r="N3013" t="inlineStr">
        <is>
          <t>alt</t>
        </is>
      </c>
      <c r="O3013" t="n">
        <v>-100</v>
      </c>
      <c r="P3013" t="n">
        <v>0.00317</v>
      </c>
      <c r="Q3013" t="n">
        <v>90</v>
      </c>
      <c r="R3013" t="n">
        <v>0.09520000000000001</v>
      </c>
      <c r="S3013">
        <f>IMAGE("https://mitra.stanford.edu/kundaje/oak/projects/neuro-variants/variant_position/credible/roussos_2024/variant_figures/roussos_2024.childhood.GLU/rs28731006_count_position.png",4,220,900)</f>
        <v/>
      </c>
      <c r="T3013">
        <f>IMAGE("https://mitra.stanford.edu/kundaje/oak/projects/neuro-variants/variant_position/credible/roussos_2024/variant_figures/roussos_2024.childhood.GLU/rs28731006_profile_position.png",4,220,900)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-0.1077244559999999</v>
      </c>
      <c r="G3014" t="n">
        <v>0.038826835765273</v>
      </c>
      <c r="H3014" t="n">
        <v>0.0202114247372695</v>
      </c>
      <c r="I3014" t="n">
        <v>0.0991103918103696</v>
      </c>
      <c r="J3014" t="n">
        <v>0.0358031050717545</v>
      </c>
      <c r="K3014" t="n">
        <v>0.4022657935946568</v>
      </c>
      <c r="L3014" t="b">
        <v>0</v>
      </c>
      <c r="M3014" t="b">
        <v>0</v>
      </c>
      <c r="N3014" t="inlineStr">
        <is>
          <t>ref</t>
        </is>
      </c>
      <c r="O3014" t="n">
        <v>0</v>
      </c>
      <c r="P3014" t="n">
        <v>0</v>
      </c>
      <c r="Q3014" t="n">
        <v>100</v>
      </c>
      <c r="R3014" t="n">
        <v>0.06665</v>
      </c>
      <c r="S3014">
        <f>IMAGE("https://mitra.stanford.edu/kundaje/oak/projects/neuro-variants/variant_position/credible/roussos_2024/variant_figures/roussos_2024.childhood.GLU/rs34202234_count_position.png",4,220,900)</f>
        <v/>
      </c>
      <c r="T3014">
        <f>IMAGE("https://mitra.stanford.edu/kundaje/oak/projects/neuro-variants/variant_position/credible/roussos_2024/variant_figures/roussos_2024.childhood.GLU/rs34202234_profile_position.png",4,220,900)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0.062349148</v>
      </c>
      <c r="G3015" t="n">
        <v>0.1222339934359705</v>
      </c>
      <c r="H3015" t="n">
        <v>0.031911508520447</v>
      </c>
      <c r="I3015" t="n">
        <v>0.0175713184123898</v>
      </c>
      <c r="J3015" t="n">
        <v>0.0105586862682476</v>
      </c>
      <c r="K3015" t="n">
        <v>0.5813763689329924</v>
      </c>
      <c r="L3015" t="b">
        <v>1</v>
      </c>
      <c r="M3015" t="b">
        <v>0</v>
      </c>
      <c r="N3015" t="inlineStr">
        <is>
          <t>alt</t>
        </is>
      </c>
      <c r="O3015" t="n">
        <v>-35</v>
      </c>
      <c r="P3015" t="n">
        <v>0.00409</v>
      </c>
      <c r="Q3015" t="n">
        <v>-95</v>
      </c>
      <c r="R3015" t="n">
        <v>0.1816</v>
      </c>
      <c r="S3015">
        <f>IMAGE("https://mitra.stanford.edu/kundaje/oak/projects/neuro-variants/variant_position/credible/roussos_2024/variant_figures/roussos_2024.childhood.GLU/rs4266314_count_position.png",4,220,900)</f>
        <v/>
      </c>
      <c r="T3015">
        <f>IMAGE("https://mitra.stanford.edu/kundaje/oak/projects/neuro-variants/variant_position/credible/roussos_2024/variant_figures/roussos_2024.childhood.GLU/rs4266314_profile_position.png",4,220,900)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0.00374739424</v>
      </c>
      <c r="G3016" t="n">
        <v>0.7678141748195871</v>
      </c>
      <c r="H3016" t="n">
        <v>0.0085784754196618</v>
      </c>
      <c r="I3016" t="n">
        <v>0.818480407671627</v>
      </c>
      <c r="J3016" t="n">
        <v>0.0028567896401454</v>
      </c>
      <c r="K3016" t="n">
        <v>0.742462356076698</v>
      </c>
      <c r="L3016" t="b">
        <v>0</v>
      </c>
      <c r="M3016" t="b">
        <v>0</v>
      </c>
      <c r="N3016" t="inlineStr">
        <is>
          <t>alt</t>
        </is>
      </c>
      <c r="O3016" t="n">
        <v>-100</v>
      </c>
      <c r="P3016" t="n">
        <v>0.007282</v>
      </c>
      <c r="Q3016" t="n">
        <v>-100</v>
      </c>
      <c r="R3016" t="n">
        <v>0.1636</v>
      </c>
      <c r="S3016">
        <f>IMAGE("https://mitra.stanford.edu/kundaje/oak/projects/neuro-variants/variant_position/credible/roussos_2024/variant_figures/roussos_2024.childhood.GLU/rs34352361_count_position.png",4,220,900)</f>
        <v/>
      </c>
      <c r="T3016">
        <f>IMAGE("https://mitra.stanford.edu/kundaje/oak/projects/neuro-variants/variant_position/credible/roussos_2024/variant_figures/roussos_2024.childhood.GLU/rs34352361_profile_position.png",4,220,900)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0.0603598521999999</v>
      </c>
      <c r="G3017" t="n">
        <v>0.1206022228051171</v>
      </c>
      <c r="H3017" t="n">
        <v>0.0143419534203377</v>
      </c>
      <c r="I3017" t="n">
        <v>0.284065582020212</v>
      </c>
      <c r="J3017" t="n">
        <v>0.0048852854214098</v>
      </c>
      <c r="K3017" t="n">
        <v>0.6828260500127958</v>
      </c>
      <c r="L3017" t="b">
        <v>0</v>
      </c>
      <c r="M3017" t="b">
        <v>0</v>
      </c>
      <c r="N3017" t="inlineStr">
        <is>
          <t>alt</t>
        </is>
      </c>
      <c r="O3017" t="n">
        <v>-50</v>
      </c>
      <c r="P3017" t="n">
        <v>0.002647</v>
      </c>
      <c r="Q3017" t="n">
        <v>-30</v>
      </c>
      <c r="R3017" t="n">
        <v>0.02026</v>
      </c>
      <c r="S3017">
        <f>IMAGE("https://mitra.stanford.edu/kundaje/oak/projects/neuro-variants/variant_position/credible/roussos_2024/variant_figures/roussos_2024.childhood.GLU/rs35210319_count_position.png",4,220,900)</f>
        <v/>
      </c>
      <c r="T3017">
        <f>IMAGE("https://mitra.stanford.edu/kundaje/oak/projects/neuro-variants/variant_position/credible/roussos_2024/variant_figures/roussos_2024.childhood.GLU/rs35210319_profile_position.png",4,220,900)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0.1043019281999999</v>
      </c>
      <c r="G3018" t="n">
        <v>0.0479749010954054</v>
      </c>
      <c r="H3018" t="n">
        <v>0.0146147522164573</v>
      </c>
      <c r="I3018" t="n">
        <v>0.2631715893036265</v>
      </c>
      <c r="J3018" t="n">
        <v>0.0482378151173931</v>
      </c>
      <c r="K3018" t="n">
        <v>0.3778249167741699</v>
      </c>
      <c r="L3018" t="b">
        <v>0</v>
      </c>
      <c r="M3018" t="b">
        <v>0</v>
      </c>
      <c r="N3018" t="inlineStr">
        <is>
          <t>alt</t>
        </is>
      </c>
      <c r="O3018" t="n">
        <v>-35</v>
      </c>
      <c r="P3018" t="n">
        <v>0.01636</v>
      </c>
      <c r="Q3018" t="n">
        <v>-30</v>
      </c>
      <c r="R3018" t="n">
        <v>0.1221</v>
      </c>
      <c r="S3018">
        <f>IMAGE("https://mitra.stanford.edu/kundaje/oak/projects/neuro-variants/variant_position/credible/roussos_2024/variant_figures/roussos_2024.childhood.GLU/rs4645234_count_position.png",4,220,900)</f>
        <v/>
      </c>
      <c r="T3018">
        <f>IMAGE("https://mitra.stanford.edu/kundaje/oak/projects/neuro-variants/variant_position/credible/roussos_2024/variant_figures/roussos_2024.childhood.GLU/rs4645234_profile_position.png",4,220,900)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-0.139840812</v>
      </c>
      <c r="G3019" t="n">
        <v>0.0195962529039489</v>
      </c>
      <c r="H3019" t="n">
        <v>0.0139795939621166</v>
      </c>
      <c r="I3019" t="n">
        <v>0.3000212128667011</v>
      </c>
      <c r="J3019" t="n">
        <v>0.0334542120391069</v>
      </c>
      <c r="K3019" t="n">
        <v>0.444253951772401</v>
      </c>
      <c r="L3019" t="b">
        <v>1</v>
      </c>
      <c r="M3019" t="b">
        <v>0</v>
      </c>
      <c r="N3019" t="inlineStr">
        <is>
          <t>ref</t>
        </is>
      </c>
      <c r="O3019" t="n">
        <v>100</v>
      </c>
      <c r="P3019" t="n">
        <v>0.00452</v>
      </c>
      <c r="Q3019" t="n">
        <v>20</v>
      </c>
      <c r="R3019" t="n">
        <v>0.04395</v>
      </c>
      <c r="S3019">
        <f>IMAGE("https://mitra.stanford.edu/kundaje/oak/projects/neuro-variants/variant_position/credible/roussos_2024/variant_figures/roussos_2024.childhood.GLU/rs6841728_count_position.png",4,220,900)</f>
        <v/>
      </c>
      <c r="T3019">
        <f>IMAGE("https://mitra.stanford.edu/kundaje/oak/projects/neuro-variants/variant_position/credible/roussos_2024/variant_figures/roussos_2024.childhood.GLU/rs6841728_profile_position.png",4,220,900)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-0.009281063859999999</v>
      </c>
      <c r="G3020" t="n">
        <v>0.687524813463625</v>
      </c>
      <c r="H3020" t="n">
        <v>0.0077154821114916</v>
      </c>
      <c r="I3020" t="n">
        <v>0.8957925940476381</v>
      </c>
      <c r="J3020" t="n">
        <v>0.0002317986545375</v>
      </c>
      <c r="K3020" t="n">
        <v>0.9071900521491204</v>
      </c>
      <c r="L3020" t="b">
        <v>0</v>
      </c>
      <c r="M3020" t="b">
        <v>0</v>
      </c>
      <c r="N3020" t="inlineStr">
        <is>
          <t>ref</t>
        </is>
      </c>
      <c r="O3020" t="n">
        <v>80</v>
      </c>
      <c r="P3020" t="n">
        <v>0.06726</v>
      </c>
      <c r="Q3020" t="n">
        <v>-25</v>
      </c>
      <c r="R3020" t="n">
        <v>0.05463</v>
      </c>
      <c r="S3020">
        <f>IMAGE("https://mitra.stanford.edu/kundaje/oak/projects/neuro-variants/variant_position/credible/roussos_2024/variant_figures/roussos_2024.childhood.GLU/rs9968413_count_position.png",4,220,900)</f>
        <v/>
      </c>
      <c r="T3020">
        <f>IMAGE("https://mitra.stanford.edu/kundaje/oak/projects/neuro-variants/variant_position/credible/roussos_2024/variant_figures/roussos_2024.childhood.GLU/rs9968413_profile_position.png",4,220,900)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-0.0286569085999999</v>
      </c>
      <c r="G3021" t="n">
        <v>0.3598306497346368</v>
      </c>
      <c r="H3021" t="n">
        <v>0.008869744038746699</v>
      </c>
      <c r="I3021" t="n">
        <v>0.7713354525957555</v>
      </c>
      <c r="J3021" t="n">
        <v>0.0013114652765615</v>
      </c>
      <c r="K3021" t="n">
        <v>0.8026465156504574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0.01793</v>
      </c>
      <c r="Q3021" t="n">
        <v>65</v>
      </c>
      <c r="R3021" t="n">
        <v>0.05292</v>
      </c>
      <c r="S3021">
        <f>IMAGE("https://mitra.stanford.edu/kundaje/oak/projects/neuro-variants/variant_position/credible/roussos_2024/variant_figures/roussos_2024.childhood.GLU/rs4547813_count_position.png",4,220,900)</f>
        <v/>
      </c>
      <c r="T3021">
        <f>IMAGE("https://mitra.stanford.edu/kundaje/oak/projects/neuro-variants/variant_position/credible/roussos_2024/variant_figures/roussos_2024.childhood.GLU/rs4547813_profile_position.png",4,220,900)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-0.197133748</v>
      </c>
      <c r="G3022" t="n">
        <v>0.0093051432913108</v>
      </c>
      <c r="H3022" t="n">
        <v>0.0295004312725324</v>
      </c>
      <c r="I3022" t="n">
        <v>0.023829134075719</v>
      </c>
      <c r="J3022" t="n">
        <v>0.0189961572934158</v>
      </c>
      <c r="K3022" t="n">
        <v>0.5221532662025357</v>
      </c>
      <c r="L3022" t="b">
        <v>1</v>
      </c>
      <c r="M3022" t="b">
        <v>1</v>
      </c>
      <c r="N3022" t="inlineStr">
        <is>
          <t>ref</t>
        </is>
      </c>
      <c r="O3022" t="n">
        <v>-25</v>
      </c>
      <c r="P3022" t="n">
        <v>0.01082</v>
      </c>
      <c r="Q3022" t="n">
        <v>25</v>
      </c>
      <c r="R3022" t="n">
        <v>0.0581</v>
      </c>
      <c r="S3022">
        <f>IMAGE("https://mitra.stanford.edu/kundaje/oak/projects/neuro-variants/variant_position/credible/roussos_2024/variant_figures/roussos_2024.childhood.GLU/rs13131483_count_position.png",4,220,900)</f>
        <v/>
      </c>
      <c r="T3022">
        <f>IMAGE("https://mitra.stanford.edu/kundaje/oak/projects/neuro-variants/variant_position/credible/roussos_2024/variant_figures/roussos_2024.childhood.GLU/rs13131483_profile_position.png",4,220,900)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0.00104836026</v>
      </c>
      <c r="G3023" t="n">
        <v>0.8552853350098589</v>
      </c>
      <c r="H3023" t="n">
        <v>0.0137929584275088</v>
      </c>
      <c r="I3023" t="n">
        <v>0.3181733812578822</v>
      </c>
      <c r="J3023" t="n">
        <v>0.02370218508865</v>
      </c>
      <c r="K3023" t="n">
        <v>0.4645247062449602</v>
      </c>
      <c r="L3023" t="b">
        <v>0</v>
      </c>
      <c r="M3023" t="b">
        <v>0</v>
      </c>
      <c r="N3023" t="inlineStr">
        <is>
          <t>alt</t>
        </is>
      </c>
      <c r="O3023" t="n">
        <v>80</v>
      </c>
      <c r="P3023" t="n">
        <v>0.03467</v>
      </c>
      <c r="Q3023" t="n">
        <v>80</v>
      </c>
      <c r="R3023" t="n">
        <v>0.2374</v>
      </c>
      <c r="S3023">
        <f>IMAGE("https://mitra.stanford.edu/kundaje/oak/projects/neuro-variants/variant_position/credible/roussos_2024/variant_figures/roussos_2024.childhood.GLU/rs13118944_count_position.png",4,220,900)</f>
        <v/>
      </c>
      <c r="T3023">
        <f>IMAGE("https://mitra.stanford.edu/kundaje/oak/projects/neuro-variants/variant_position/credible/roussos_2024/variant_figures/roussos_2024.childhood.GLU/rs13118944_profile_position.png",4,220,900)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-0.184227108</v>
      </c>
      <c r="G3024" t="n">
        <v>0.0114367146646438</v>
      </c>
      <c r="H3024" t="n">
        <v>0.0284175505353726</v>
      </c>
      <c r="I3024" t="n">
        <v>0.0337776186795745</v>
      </c>
      <c r="J3024" t="n">
        <v>0.0133722068262127</v>
      </c>
      <c r="K3024" t="n">
        <v>0.5580586676859474</v>
      </c>
      <c r="L3024" t="b">
        <v>1</v>
      </c>
      <c r="M3024" t="b">
        <v>0</v>
      </c>
      <c r="N3024" t="inlineStr">
        <is>
          <t>ref</t>
        </is>
      </c>
      <c r="O3024" t="n">
        <v>10</v>
      </c>
      <c r="P3024" t="n">
        <v>0.000641</v>
      </c>
      <c r="Q3024" t="n">
        <v>-60</v>
      </c>
      <c r="R3024" t="n">
        <v>0.03662</v>
      </c>
      <c r="S3024">
        <f>IMAGE("https://mitra.stanford.edu/kundaje/oak/projects/neuro-variants/variant_position/credible/roussos_2024/variant_figures/roussos_2024.childhood.GLU/rs10010448_count_position.png",4,220,900)</f>
        <v/>
      </c>
      <c r="T3024">
        <f>IMAGE("https://mitra.stanford.edu/kundaje/oak/projects/neuro-variants/variant_position/credible/roussos_2024/variant_figures/roussos_2024.childhood.GLU/rs10010448_profile_position.png",4,220,900)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-0.0510415875999999</v>
      </c>
      <c r="G3025" t="n">
        <v>0.1839735149728952</v>
      </c>
      <c r="H3025" t="n">
        <v>0.0105450695192261</v>
      </c>
      <c r="I3025" t="n">
        <v>0.5839802680173396</v>
      </c>
      <c r="J3025" t="n">
        <v>0.0209257523154109</v>
      </c>
      <c r="K3025" t="n">
        <v>0.4840693834894684</v>
      </c>
      <c r="L3025" t="b">
        <v>0</v>
      </c>
      <c r="M3025" t="b">
        <v>0</v>
      </c>
      <c r="N3025" t="inlineStr">
        <is>
          <t>ref</t>
        </is>
      </c>
      <c r="O3025" t="n">
        <v>-40</v>
      </c>
      <c r="P3025" t="n">
        <v>0.01384</v>
      </c>
      <c r="Q3025" t="n">
        <v>-55</v>
      </c>
      <c r="R3025" t="n">
        <v>0.1128</v>
      </c>
      <c r="S3025">
        <f>IMAGE("https://mitra.stanford.edu/kundaje/oak/projects/neuro-variants/variant_position/credible/roussos_2024/variant_figures/roussos_2024.childhood.GLU/rs7672284_count_position.png",4,220,900)</f>
        <v/>
      </c>
      <c r="T3025">
        <f>IMAGE("https://mitra.stanford.edu/kundaje/oak/projects/neuro-variants/variant_position/credible/roussos_2024/variant_figures/roussos_2024.childhood.GLU/rs7672284_profile_position.png",4,220,900)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-0.0380466906</v>
      </c>
      <c r="G3026" t="n">
        <v>0.2647915502385479</v>
      </c>
      <c r="H3026" t="n">
        <v>0.0119940459186723</v>
      </c>
      <c r="I3026" t="n">
        <v>0.4596469906242171</v>
      </c>
      <c r="J3026" t="n">
        <v>0.1073423511595083</v>
      </c>
      <c r="K3026" t="n">
        <v>0.2341233859921645</v>
      </c>
      <c r="L3026" t="b">
        <v>0</v>
      </c>
      <c r="M3026" t="b">
        <v>0</v>
      </c>
      <c r="N3026" t="inlineStr">
        <is>
          <t>ref</t>
        </is>
      </c>
      <c r="O3026" t="n">
        <v>-30</v>
      </c>
      <c r="P3026" t="n">
        <v>0.008675</v>
      </c>
      <c r="Q3026" t="n">
        <v>-100</v>
      </c>
      <c r="R3026" t="n">
        <v>0.1282</v>
      </c>
      <c r="S3026">
        <f>IMAGE("https://mitra.stanford.edu/kundaje/oak/projects/neuro-variants/variant_position/credible/roussos_2024/variant_figures/roussos_2024.childhood.GLU/rs28668075_count_position.png",4,220,900)</f>
        <v/>
      </c>
      <c r="T3026">
        <f>IMAGE("https://mitra.stanford.edu/kundaje/oak/projects/neuro-variants/variant_position/credible/roussos_2024/variant_figures/roussos_2024.childhood.GLU/rs28668075_profile_position.png",4,220,900)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0.0553503592</v>
      </c>
      <c r="G3027" t="n">
        <v>0.1439735367681667</v>
      </c>
      <c r="H3027" t="n">
        <v>0.0114990147750291</v>
      </c>
      <c r="I3027" t="n">
        <v>0.4963161471123458</v>
      </c>
      <c r="J3027" t="n">
        <v>0.0421245119350551</v>
      </c>
      <c r="K3027" t="n">
        <v>0.377863680295135</v>
      </c>
      <c r="L3027" t="b">
        <v>0</v>
      </c>
      <c r="M3027" t="b">
        <v>0</v>
      </c>
      <c r="N3027" t="inlineStr">
        <is>
          <t>alt</t>
        </is>
      </c>
      <c r="O3027" t="n">
        <v>5</v>
      </c>
      <c r="P3027" t="n">
        <v>0.002266</v>
      </c>
      <c r="Q3027" t="n">
        <v>60</v>
      </c>
      <c r="R3027" t="n">
        <v>0.07446</v>
      </c>
      <c r="S3027">
        <f>IMAGE("https://mitra.stanford.edu/kundaje/oak/projects/neuro-variants/variant_position/credible/roussos_2024/variant_figures/roussos_2024.childhood.GLU/rs919019_count_position.png",4,220,900)</f>
        <v/>
      </c>
      <c r="T3027">
        <f>IMAGE("https://mitra.stanford.edu/kundaje/oak/projects/neuro-variants/variant_position/credible/roussos_2024/variant_figures/roussos_2024.childhood.GLU/rs919019_profile_position.png",4,220,900)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-0.0370464841999999</v>
      </c>
      <c r="G3028" t="n">
        <v>0.2751646656708775</v>
      </c>
      <c r="H3028" t="n">
        <v>0.0249648716685957</v>
      </c>
      <c r="I3028" t="n">
        <v>0.0432081936371179</v>
      </c>
      <c r="J3028" t="n">
        <v>0.0158375142942503</v>
      </c>
      <c r="K3028" t="n">
        <v>0.5279210097958411</v>
      </c>
      <c r="L3028" t="b">
        <v>0</v>
      </c>
      <c r="M3028" t="b">
        <v>0</v>
      </c>
      <c r="N3028" t="inlineStr">
        <is>
          <t>ref</t>
        </is>
      </c>
      <c r="O3028" t="n">
        <v>100</v>
      </c>
      <c r="P3028" t="n">
        <v>0.002934</v>
      </c>
      <c r="Q3028" t="n">
        <v>-65</v>
      </c>
      <c r="R3028" t="n">
        <v>0.0464</v>
      </c>
      <c r="S3028">
        <f>IMAGE("https://mitra.stanford.edu/kundaje/oak/projects/neuro-variants/variant_position/credible/roussos_2024/variant_figures/roussos_2024.childhood.GLU/rs919018_count_position.png",4,220,900)</f>
        <v/>
      </c>
      <c r="T3028">
        <f>IMAGE("https://mitra.stanford.edu/kundaje/oak/projects/neuro-variants/variant_position/credible/roussos_2024/variant_figures/roussos_2024.childhood.GLU/rs919018_profile_position.png",4,220,900)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-0.0043134397799999</v>
      </c>
      <c r="G3029" t="n">
        <v>0.4022525128698301</v>
      </c>
      <c r="H3029" t="n">
        <v>0.0251234726680438</v>
      </c>
      <c r="I3029" t="n">
        <v>0.0450776419595201</v>
      </c>
      <c r="J3029" t="n">
        <v>0.0020284957812644</v>
      </c>
      <c r="K3029" t="n">
        <v>0.7700650054001256</v>
      </c>
      <c r="L3029" t="b">
        <v>0</v>
      </c>
      <c r="M3029" t="b">
        <v>0</v>
      </c>
      <c r="N3029" t="inlineStr">
        <is>
          <t>ref</t>
        </is>
      </c>
      <c r="O3029" t="n">
        <v>70</v>
      </c>
      <c r="P3029" t="n">
        <v>0.012184</v>
      </c>
      <c r="Q3029" t="n">
        <v>70</v>
      </c>
      <c r="R3029" t="n">
        <v>0.02893</v>
      </c>
      <c r="S3029">
        <f>IMAGE("https://mitra.stanford.edu/kundaje/oak/projects/neuro-variants/variant_position/credible/roussos_2024/variant_figures/roussos_2024.childhood.GLU/rs35418312_count_position.png",4,220,900)</f>
        <v/>
      </c>
      <c r="T3029">
        <f>IMAGE("https://mitra.stanford.edu/kundaje/oak/projects/neuro-variants/variant_position/credible/roussos_2024/variant_figures/roussos_2024.childhood.GLU/rs35418312_profile_position.png",4,220,900)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-0.0021043701499999</v>
      </c>
      <c r="G3030" t="n">
        <v>0.617746949228451</v>
      </c>
      <c r="H3030" t="n">
        <v>0.0330450542255362</v>
      </c>
      <c r="I3030" t="n">
        <v>0.0141635750107087</v>
      </c>
      <c r="J3030" t="n">
        <v>0.002757888880876</v>
      </c>
      <c r="K3030" t="n">
        <v>0.7395533891491446</v>
      </c>
      <c r="L3030" t="b">
        <v>0</v>
      </c>
      <c r="M3030" t="b">
        <v>0</v>
      </c>
      <c r="N3030" t="inlineStr">
        <is>
          <t>ref</t>
        </is>
      </c>
      <c r="O3030" t="n">
        <v>80</v>
      </c>
      <c r="P3030" t="n">
        <v>0.001213</v>
      </c>
      <c r="Q3030" t="n">
        <v>80</v>
      </c>
      <c r="R3030" t="n">
        <v>0.02193</v>
      </c>
      <c r="S3030">
        <f>IMAGE("https://mitra.stanford.edu/kundaje/oak/projects/neuro-variants/variant_position/credible/roussos_2024/variant_figures/roussos_2024.childhood.GLU/rs13135298_count_position.png",4,220,900)</f>
        <v/>
      </c>
      <c r="T3030">
        <f>IMAGE("https://mitra.stanford.edu/kundaje/oak/projects/neuro-variants/variant_position/credible/roussos_2024/variant_figures/roussos_2024.childhood.GLU/rs13135298_profile_position.png",4,220,900)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-0.07733952799999989</v>
      </c>
      <c r="G3031" t="n">
        <v>0.0855783914114618</v>
      </c>
      <c r="H3031" t="n">
        <v>0.0179893734824762</v>
      </c>
      <c r="I3031" t="n">
        <v>0.1392872438415629</v>
      </c>
      <c r="J3031" t="n">
        <v>0.0365221960089422</v>
      </c>
      <c r="K3031" t="n">
        <v>0.4168034386543061</v>
      </c>
      <c r="L3031" t="b">
        <v>0</v>
      </c>
      <c r="M3031" t="b">
        <v>0</v>
      </c>
      <c r="N3031" t="inlineStr">
        <is>
          <t>ref</t>
        </is>
      </c>
      <c r="O3031" t="n">
        <v>-45</v>
      </c>
      <c r="P3031" t="n">
        <v>0.0621</v>
      </c>
      <c r="Q3031" t="n">
        <v>-50</v>
      </c>
      <c r="R3031" t="n">
        <v>0.3418</v>
      </c>
      <c r="S3031">
        <f>IMAGE("https://mitra.stanford.edu/kundaje/oak/projects/neuro-variants/variant_position/credible/roussos_2024/variant_figures/roussos_2024.childhood.GLU/rs61262296_count_position.png",4,220,900)</f>
        <v/>
      </c>
      <c r="T3031">
        <f>IMAGE("https://mitra.stanford.edu/kundaje/oak/projects/neuro-variants/variant_position/credible/roussos_2024/variant_figures/roussos_2024.childhood.GLU/rs61262296_profile_position.png",4,220,900)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-0.00038314784</v>
      </c>
      <c r="G3032" t="n">
        <v>0.7971559255816834</v>
      </c>
      <c r="H3032" t="n">
        <v>0.0193147783180327</v>
      </c>
      <c r="I3032" t="n">
        <v>0.1108246615684017</v>
      </c>
      <c r="J3032" t="n">
        <v>0.0061606931294878</v>
      </c>
      <c r="K3032" t="n">
        <v>0.6731846533010822</v>
      </c>
      <c r="L3032" t="b">
        <v>0</v>
      </c>
      <c r="M3032" t="b">
        <v>0</v>
      </c>
      <c r="N3032" t="inlineStr">
        <is>
          <t>ref</t>
        </is>
      </c>
      <c r="O3032" t="n">
        <v>100</v>
      </c>
      <c r="P3032" t="n">
        <v>0.02232</v>
      </c>
      <c r="Q3032" t="n">
        <v>100</v>
      </c>
      <c r="R3032" t="n">
        <v>0.3696</v>
      </c>
      <c r="S3032">
        <f>IMAGE("https://mitra.stanford.edu/kundaje/oak/projects/neuro-variants/variant_position/credible/roussos_2024/variant_figures/roussos_2024.childhood.GLU/rs7685673_count_position.png",4,220,900)</f>
        <v/>
      </c>
      <c r="T3032">
        <f>IMAGE("https://mitra.stanford.edu/kundaje/oak/projects/neuro-variants/variant_position/credible/roussos_2024/variant_figures/roussos_2024.childhood.GLU/rs7685673_profile_position.png",4,220,900)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-0.043566485</v>
      </c>
      <c r="G3033" t="n">
        <v>0.2274064175501845</v>
      </c>
      <c r="H3033" t="n">
        <v>0.0162769038155021</v>
      </c>
      <c r="I3033" t="n">
        <v>0.1958039740310187</v>
      </c>
      <c r="J3033" t="n">
        <v>0.4942297588263776</v>
      </c>
      <c r="K3033" t="n">
        <v>0.0435306081469163</v>
      </c>
      <c r="L3033" t="b">
        <v>0</v>
      </c>
      <c r="M3033" t="b">
        <v>0</v>
      </c>
      <c r="N3033" t="inlineStr">
        <is>
          <t>ref</t>
        </is>
      </c>
      <c r="O3033" t="n">
        <v>-100</v>
      </c>
      <c r="P3033" t="n">
        <v>0.004745</v>
      </c>
      <c r="Q3033" t="n">
        <v>-60</v>
      </c>
      <c r="R3033" t="n">
        <v>0.02466</v>
      </c>
      <c r="S3033">
        <f>IMAGE("https://mitra.stanford.edu/kundaje/oak/projects/neuro-variants/variant_position/credible/roussos_2024/variant_figures/roussos_2024.childhood.GLU/rs111284769_count_position.png",4,220,900)</f>
        <v/>
      </c>
      <c r="T3033">
        <f>IMAGE("https://mitra.stanford.edu/kundaje/oak/projects/neuro-variants/variant_position/credible/roussos_2024/variant_figures/roussos_2024.childhood.GLU/rs111284769_profile_position.png",4,220,900)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-0.0342312896</v>
      </c>
      <c r="G3034" t="n">
        <v>0.2318781457925809</v>
      </c>
      <c r="H3034" t="n">
        <v>0.0191501629608408</v>
      </c>
      <c r="I3034" t="n">
        <v>0.1152019917523092</v>
      </c>
      <c r="J3034" t="n">
        <v>0.4875446856295136</v>
      </c>
      <c r="K3034" t="n">
        <v>0.0447991383433794</v>
      </c>
      <c r="L3034" t="b">
        <v>0</v>
      </c>
      <c r="M3034" t="b">
        <v>0</v>
      </c>
      <c r="N3034" t="inlineStr">
        <is>
          <t>ref</t>
        </is>
      </c>
      <c r="O3034" t="n">
        <v>-100</v>
      </c>
      <c r="P3034" t="n">
        <v>0.00298</v>
      </c>
      <c r="Q3034" t="n">
        <v>-40</v>
      </c>
      <c r="R3034" t="n">
        <v>0.04736</v>
      </c>
      <c r="S3034">
        <f>IMAGE("https://mitra.stanford.edu/kundaje/oak/projects/neuro-variants/variant_position/credible/roussos_2024/variant_figures/roussos_2024.childhood.GLU/rs112181396_count_position.png",4,220,900)</f>
        <v/>
      </c>
      <c r="T3034">
        <f>IMAGE("https://mitra.stanford.edu/kundaje/oak/projects/neuro-variants/variant_position/credible/roussos_2024/variant_figures/roussos_2024.childhood.GLU/rs112181396_profile_position.png",4,220,900)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0.007337850694</v>
      </c>
      <c r="G3035" t="n">
        <v>0.7308527710495969</v>
      </c>
      <c r="H3035" t="n">
        <v>0.0207126459450277</v>
      </c>
      <c r="I3035" t="n">
        <v>0.08668348606753259</v>
      </c>
      <c r="J3035" t="n">
        <v>0.000376028928472</v>
      </c>
      <c r="K3035" t="n">
        <v>0.8920959366941745</v>
      </c>
      <c r="L3035" t="b">
        <v>0</v>
      </c>
      <c r="M3035" t="b">
        <v>0</v>
      </c>
      <c r="N3035" t="inlineStr">
        <is>
          <t>alt</t>
        </is>
      </c>
      <c r="O3035" t="n">
        <v>-90</v>
      </c>
      <c r="P3035" t="n">
        <v>0.005554</v>
      </c>
      <c r="Q3035" t="n">
        <v>40</v>
      </c>
      <c r="R3035" t="n">
        <v>0.05774</v>
      </c>
      <c r="S3035">
        <f>IMAGE("https://mitra.stanford.edu/kundaje/oak/projects/neuro-variants/variant_position/credible/roussos_2024/variant_figures/roussos_2024.childhood.GLU/rs35781550_count_position.png",4,220,900)</f>
        <v/>
      </c>
      <c r="T3035">
        <f>IMAGE("https://mitra.stanford.edu/kundaje/oak/projects/neuro-variants/variant_position/credible/roussos_2024/variant_figures/roussos_2024.childhood.GLU/rs35781550_profile_position.png",4,220,900)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-0.0343086909999999</v>
      </c>
      <c r="G3036" t="n">
        <v>0.3028871736769068</v>
      </c>
      <c r="H3036" t="n">
        <v>0.0110674974415805</v>
      </c>
      <c r="I3036" t="n">
        <v>0.543377776083333</v>
      </c>
      <c r="J3036" t="n">
        <v>0.0002812490341722</v>
      </c>
      <c r="K3036" t="n">
        <v>0.9076221417897636</v>
      </c>
      <c r="L3036" t="b">
        <v>0</v>
      </c>
      <c r="M3036" t="b">
        <v>0</v>
      </c>
      <c r="N3036" t="inlineStr">
        <is>
          <t>ref</t>
        </is>
      </c>
      <c r="O3036" t="n">
        <v>-65</v>
      </c>
      <c r="P3036" t="n">
        <v>0.0064</v>
      </c>
      <c r="Q3036" t="n">
        <v>75</v>
      </c>
      <c r="R3036" t="n">
        <v>0.05237</v>
      </c>
      <c r="S3036">
        <f>IMAGE("https://mitra.stanford.edu/kundaje/oak/projects/neuro-variants/variant_position/credible/roussos_2024/variant_figures/roussos_2024.childhood.GLU/rs36044581_count_position.png",4,220,900)</f>
        <v/>
      </c>
      <c r="T3036">
        <f>IMAGE("https://mitra.stanford.edu/kundaje/oak/projects/neuro-variants/variant_position/credible/roussos_2024/variant_figures/roussos_2024.childhood.GLU/rs36044581_profile_position.png",4,220,900)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0.0891692036</v>
      </c>
      <c r="G3037" t="n">
        <v>0.0592492095044562</v>
      </c>
      <c r="H3037" t="n">
        <v>0.0194690703818876</v>
      </c>
      <c r="I3037" t="n">
        <v>0.1165808452102843</v>
      </c>
      <c r="J3037" t="n">
        <v>0.009901408305603199</v>
      </c>
      <c r="K3037" t="n">
        <v>0.5990789871686234</v>
      </c>
      <c r="L3037" t="b">
        <v>0</v>
      </c>
      <c r="M3037" t="b">
        <v>0</v>
      </c>
      <c r="N3037" t="inlineStr">
        <is>
          <t>alt</t>
        </is>
      </c>
      <c r="O3037" t="n">
        <v>40</v>
      </c>
      <c r="P3037" t="n">
        <v>0.002724</v>
      </c>
      <c r="Q3037" t="n">
        <v>-90</v>
      </c>
      <c r="R3037" t="n">
        <v>0.1289</v>
      </c>
      <c r="S3037">
        <f>IMAGE("https://mitra.stanford.edu/kundaje/oak/projects/neuro-variants/variant_position/credible/roussos_2024/variant_figures/roussos_2024.childhood.GLU/rs6824510_count_position.png",4,220,900)</f>
        <v/>
      </c>
      <c r="T3037">
        <f>IMAGE("https://mitra.stanford.edu/kundaje/oak/projects/neuro-variants/variant_position/credible/roussos_2024/variant_figures/roussos_2024.childhood.GLU/rs6824510_profile_position.png",4,220,900)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0.2104112739999999</v>
      </c>
      <c r="G3038" t="n">
        <v>0.0065380036811368</v>
      </c>
      <c r="H3038" t="n">
        <v>0.0319844554578534</v>
      </c>
      <c r="I3038" t="n">
        <v>0.0164035559782013</v>
      </c>
      <c r="J3038" t="n">
        <v>0.0210050789660749</v>
      </c>
      <c r="K3038" t="n">
        <v>0.5001921479601806</v>
      </c>
      <c r="L3038" t="b">
        <v>1</v>
      </c>
      <c r="M3038" t="b">
        <v>1</v>
      </c>
      <c r="N3038" t="inlineStr">
        <is>
          <t>alt</t>
        </is>
      </c>
      <c r="O3038" t="n">
        <v>70</v>
      </c>
      <c r="P3038" t="n">
        <v>0.0218</v>
      </c>
      <c r="Q3038" t="n">
        <v>20</v>
      </c>
      <c r="R3038" t="n">
        <v>0.01318</v>
      </c>
      <c r="S3038">
        <f>IMAGE("https://mitra.stanford.edu/kundaje/oak/projects/neuro-variants/variant_position/credible/roussos_2024/variant_figures/roussos_2024.childhood.GLU/rs7690302_count_position.png",4,220,900)</f>
        <v/>
      </c>
      <c r="T3038">
        <f>IMAGE("https://mitra.stanford.edu/kundaje/oak/projects/neuro-variants/variant_position/credible/roussos_2024/variant_figures/roussos_2024.childhood.GLU/rs7690302_profile_position.png",4,220,900)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-0.1172040052</v>
      </c>
      <c r="G3039" t="n">
        <v>0.0317457642953142</v>
      </c>
      <c r="H3039" t="n">
        <v>0.0500035833780633</v>
      </c>
      <c r="I3039" t="n">
        <v>0.0028384814644856</v>
      </c>
      <c r="J3039" t="n">
        <v>0.0058495678242862</v>
      </c>
      <c r="K3039" t="n">
        <v>0.6626920129833903</v>
      </c>
      <c r="L3039" t="b">
        <v>0</v>
      </c>
      <c r="M3039" t="b">
        <v>0</v>
      </c>
      <c r="N3039" t="inlineStr">
        <is>
          <t>ref</t>
        </is>
      </c>
      <c r="O3039" t="n">
        <v>15</v>
      </c>
      <c r="P3039" t="n">
        <v>0.001678</v>
      </c>
      <c r="Q3039" t="n">
        <v>-100</v>
      </c>
      <c r="R3039" t="n">
        <v>0.0798</v>
      </c>
      <c r="S3039">
        <f>IMAGE("https://mitra.stanford.edu/kundaje/oak/projects/neuro-variants/variant_position/credible/roussos_2024/variant_figures/roussos_2024.childhood.GLU/rs13113901_count_position.png",4,220,900)</f>
        <v/>
      </c>
      <c r="T3039">
        <f>IMAGE("https://mitra.stanford.edu/kundaje/oak/projects/neuro-variants/variant_position/credible/roussos_2024/variant_figures/roussos_2024.childhood.GLU/rs13113901_profile_position.png",4,220,900)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-0.002042372676</v>
      </c>
      <c r="G3040" t="n">
        <v>0.898811755768838</v>
      </c>
      <c r="H3040" t="n">
        <v>0.0198723132693301</v>
      </c>
      <c r="I3040" t="n">
        <v>0.1008168219886897</v>
      </c>
      <c r="J3040" t="n">
        <v>0.1025219693613689</v>
      </c>
      <c r="K3040" t="n">
        <v>0.2450887721115074</v>
      </c>
      <c r="L3040" t="b">
        <v>0</v>
      </c>
      <c r="M3040" t="b">
        <v>0</v>
      </c>
      <c r="N3040" t="inlineStr">
        <is>
          <t>ref</t>
        </is>
      </c>
      <c r="O3040" t="n">
        <v>-100</v>
      </c>
      <c r="P3040" t="n">
        <v>0.0454</v>
      </c>
      <c r="Q3040" t="n">
        <v>-100</v>
      </c>
      <c r="R3040" t="n">
        <v>0.1135</v>
      </c>
      <c r="S3040">
        <f>IMAGE("https://mitra.stanford.edu/kundaje/oak/projects/neuro-variants/variant_position/credible/roussos_2024/variant_figures/roussos_2024.childhood.GLU/rs7658506_count_position.png",4,220,900)</f>
        <v/>
      </c>
      <c r="T3040">
        <f>IMAGE("https://mitra.stanford.edu/kundaje/oak/projects/neuro-variants/variant_position/credible/roussos_2024/variant_figures/roussos_2024.childhood.GLU/rs7658506_profile_position.png",4,220,900)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-0.00306929556</v>
      </c>
      <c r="G3041" t="n">
        <v>0.8342470087680658</v>
      </c>
      <c r="H3041" t="n">
        <v>0.0128699203719594</v>
      </c>
      <c r="I3041" t="n">
        <v>0.384612807157996</v>
      </c>
      <c r="J3041" t="n">
        <v>0.0826686721542851</v>
      </c>
      <c r="K3041" t="n">
        <v>0.2778196817549025</v>
      </c>
      <c r="L3041" t="b">
        <v>0</v>
      </c>
      <c r="M3041" t="b">
        <v>0</v>
      </c>
      <c r="N3041" t="inlineStr">
        <is>
          <t>ref</t>
        </is>
      </c>
      <c r="O3041" t="n">
        <v>-95</v>
      </c>
      <c r="P3041" t="n">
        <v>0.01721</v>
      </c>
      <c r="Q3041" t="n">
        <v>-100</v>
      </c>
      <c r="R3041" t="n">
        <v>0.1643</v>
      </c>
      <c r="S3041">
        <f>IMAGE("https://mitra.stanford.edu/kundaje/oak/projects/neuro-variants/variant_position/credible/roussos_2024/variant_figures/roussos_2024.childhood.GLU/rs7681085_count_position.png",4,220,900)</f>
        <v/>
      </c>
      <c r="T3041">
        <f>IMAGE("https://mitra.stanford.edu/kundaje/oak/projects/neuro-variants/variant_position/credible/roussos_2024/variant_figures/roussos_2024.childhood.GLU/rs7681085_profile_position.png",4,220,900)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0.0142697194632</v>
      </c>
      <c r="G3042" t="n">
        <v>0.5756260309666937</v>
      </c>
      <c r="H3042" t="n">
        <v>0.0162815486757955</v>
      </c>
      <c r="I3042" t="n">
        <v>0.2014200400942597</v>
      </c>
      <c r="J3042" t="n">
        <v>0.0070538906116393</v>
      </c>
      <c r="K3042" t="n">
        <v>0.6397298705454157</v>
      </c>
      <c r="L3042" t="b">
        <v>0</v>
      </c>
      <c r="M3042" t="b">
        <v>0</v>
      </c>
      <c r="N3042" t="inlineStr">
        <is>
          <t>alt</t>
        </is>
      </c>
      <c r="O3042" t="n">
        <v>75</v>
      </c>
      <c r="P3042" t="n">
        <v>0.01228</v>
      </c>
      <c r="Q3042" t="n">
        <v>55</v>
      </c>
      <c r="R3042" t="n">
        <v>0.05908</v>
      </c>
      <c r="S3042">
        <f>IMAGE("https://mitra.stanford.edu/kundaje/oak/projects/neuro-variants/variant_position/credible/roussos_2024/variant_figures/roussos_2024.childhood.GLU/rs13115626_count_position.png",4,220,900)</f>
        <v/>
      </c>
      <c r="T3042">
        <f>IMAGE("https://mitra.stanford.edu/kundaje/oak/projects/neuro-variants/variant_position/credible/roussos_2024/variant_figures/roussos_2024.childhood.GLU/rs13115626_profile_position.png",4,220,900)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0.17317596</v>
      </c>
      <c r="G3043" t="n">
        <v>0.011735724699704</v>
      </c>
      <c r="H3043" t="n">
        <v>0.0173931890993834</v>
      </c>
      <c r="I3043" t="n">
        <v>0.1560325043636884</v>
      </c>
      <c r="J3043" t="n">
        <v>0.1497481121287358</v>
      </c>
      <c r="K3043" t="n">
        <v>0.1862193193833249</v>
      </c>
      <c r="L3043" t="b">
        <v>1</v>
      </c>
      <c r="M3043" t="b">
        <v>0</v>
      </c>
      <c r="N3043" t="inlineStr">
        <is>
          <t>alt</t>
        </is>
      </c>
      <c r="O3043" t="n">
        <v>-55</v>
      </c>
      <c r="P3043" t="n">
        <v>0.03424</v>
      </c>
      <c r="Q3043" t="n">
        <v>55</v>
      </c>
      <c r="R3043" t="n">
        <v>0.03564</v>
      </c>
      <c r="S3043">
        <f>IMAGE("https://mitra.stanford.edu/kundaje/oak/projects/neuro-variants/variant_position/credible/roussos_2024/variant_figures/roussos_2024.childhood.GLU/rs4695202_count_position.png",4,220,900)</f>
        <v/>
      </c>
      <c r="T3043">
        <f>IMAGE("https://mitra.stanford.edu/kundaje/oak/projects/neuro-variants/variant_position/credible/roussos_2024/variant_figures/roussos_2024.childhood.GLU/rs4695202_profile_position.png",4,220,900)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-0.048282075</v>
      </c>
      <c r="G3044" t="n">
        <v>0.1889523889345253</v>
      </c>
      <c r="H3044" t="n">
        <v>0.0137386488072049</v>
      </c>
      <c r="I3044" t="n">
        <v>0.3190333384174892</v>
      </c>
      <c r="J3044" t="n">
        <v>0.0012393501395942</v>
      </c>
      <c r="K3044" t="n">
        <v>0.8111488044424724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0.009674</v>
      </c>
      <c r="Q3044" t="n">
        <v>-80</v>
      </c>
      <c r="R3044" t="n">
        <v>0.0863</v>
      </c>
      <c r="S3044">
        <f>IMAGE("https://mitra.stanford.edu/kundaje/oak/projects/neuro-variants/variant_position/credible/roussos_2024/variant_figures/roussos_2024.childhood.GLU/rs28584485_count_position.png",4,220,900)</f>
        <v/>
      </c>
      <c r="T3044">
        <f>IMAGE("https://mitra.stanford.edu/kundaje/oak/projects/neuro-variants/variant_position/credible/roussos_2024/variant_figures/roussos_2024.childhood.GLU/rs28584485_profile_position.png",4,220,900)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0.0255670533999999</v>
      </c>
      <c r="G3045" t="n">
        <v>0.378155198304976</v>
      </c>
      <c r="H3045" t="n">
        <v>0.0097591453352628</v>
      </c>
      <c r="I3045" t="n">
        <v>0.6875781991128564</v>
      </c>
      <c r="J3045" t="n">
        <v>0.0773991160744639</v>
      </c>
      <c r="K3045" t="n">
        <v>0.2838777322340549</v>
      </c>
      <c r="L3045" t="b">
        <v>0</v>
      </c>
      <c r="M3045" t="b">
        <v>0</v>
      </c>
      <c r="N3045" t="inlineStr">
        <is>
          <t>alt</t>
        </is>
      </c>
      <c r="O3045" t="n">
        <v>-100</v>
      </c>
      <c r="P3045" t="n">
        <v>0.010796</v>
      </c>
      <c r="Q3045" t="n">
        <v>-85</v>
      </c>
      <c r="R3045" t="n">
        <v>0.1015</v>
      </c>
      <c r="S3045">
        <f>IMAGE("https://mitra.stanford.edu/kundaje/oak/projects/neuro-variants/variant_position/credible/roussos_2024/variant_figures/roussos_2024.childhood.GLU/rs4426746_count_position.png",4,220,900)</f>
        <v/>
      </c>
      <c r="T3045">
        <f>IMAGE("https://mitra.stanford.edu/kundaje/oak/projects/neuro-variants/variant_position/credible/roussos_2024/variant_figures/roussos_2024.childhood.GLU/rs4426746_profile_position.png",4,220,900)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-0.125054972</v>
      </c>
      <c r="G3046" t="n">
        <v>0.0297632258462046</v>
      </c>
      <c r="H3046" t="n">
        <v>0.015896855721957</v>
      </c>
      <c r="I3046" t="n">
        <v>0.2097850304863249</v>
      </c>
      <c r="J3046" t="n">
        <v>0.1508318996157293</v>
      </c>
      <c r="K3046" t="n">
        <v>0.1900632603943514</v>
      </c>
      <c r="L3046" t="b">
        <v>0</v>
      </c>
      <c r="M3046" t="b">
        <v>0</v>
      </c>
      <c r="N3046" t="inlineStr">
        <is>
          <t>ref</t>
        </is>
      </c>
      <c r="O3046" t="n">
        <v>100</v>
      </c>
      <c r="P3046" t="n">
        <v>0.0399</v>
      </c>
      <c r="Q3046" t="n">
        <v>10</v>
      </c>
      <c r="R3046" t="n">
        <v>0.03516</v>
      </c>
      <c r="S3046">
        <f>IMAGE("https://mitra.stanford.edu/kundaje/oak/projects/neuro-variants/variant_position/credible/roussos_2024/variant_figures/roussos_2024.childhood.GLU/rs13108290_count_position.png",4,220,900)</f>
        <v/>
      </c>
      <c r="T3046">
        <f>IMAGE("https://mitra.stanford.edu/kundaje/oak/projects/neuro-variants/variant_position/credible/roussos_2024/variant_figures/roussos_2024.childhood.GLU/rs13108290_profile_position.png",4,220,900)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-0.1475773779999999</v>
      </c>
      <c r="G3047" t="n">
        <v>0.017905686978523</v>
      </c>
      <c r="H3047" t="n">
        <v>0.030648962734934</v>
      </c>
      <c r="I3047" t="n">
        <v>0.0197941538673911</v>
      </c>
      <c r="J3047" t="n">
        <v>0.5603304933705584</v>
      </c>
      <c r="K3047" t="n">
        <v>0.0321618459010575</v>
      </c>
      <c r="L3047" t="b">
        <v>1</v>
      </c>
      <c r="M3047" t="b">
        <v>0</v>
      </c>
      <c r="N3047" t="inlineStr">
        <is>
          <t>ref</t>
        </is>
      </c>
      <c r="O3047" t="n">
        <v>-100</v>
      </c>
      <c r="P3047" t="n">
        <v>0.03503</v>
      </c>
      <c r="Q3047" t="n">
        <v>-100</v>
      </c>
      <c r="R3047" t="n">
        <v>0.1987</v>
      </c>
      <c r="S3047">
        <f>IMAGE("https://mitra.stanford.edu/kundaje/oak/projects/neuro-variants/variant_position/credible/roussos_2024/variant_figures/roussos_2024.childhood.GLU/rs7671128_count_position.png",4,220,900)</f>
        <v/>
      </c>
      <c r="T3047">
        <f>IMAGE("https://mitra.stanford.edu/kundaje/oak/projects/neuro-variants/variant_position/credible/roussos_2024/variant_figures/roussos_2024.childhood.GLU/rs7671128_profile_position.png",4,220,900)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0.04283067</v>
      </c>
      <c r="G3048" t="n">
        <v>0.2202460732973121</v>
      </c>
      <c r="H3048" t="n">
        <v>0.0116272459081689</v>
      </c>
      <c r="I3048" t="n">
        <v>0.4870359418217524</v>
      </c>
      <c r="J3048" t="n">
        <v>0.0159518682971555</v>
      </c>
      <c r="K3048" t="n">
        <v>0.5337285085862633</v>
      </c>
      <c r="L3048" t="b">
        <v>0</v>
      </c>
      <c r="M3048" t="b">
        <v>0</v>
      </c>
      <c r="N3048" t="inlineStr">
        <is>
          <t>alt</t>
        </is>
      </c>
      <c r="O3048" t="n">
        <v>-65</v>
      </c>
      <c r="P3048" t="n">
        <v>0.010704</v>
      </c>
      <c r="Q3048" t="n">
        <v>-90</v>
      </c>
      <c r="R3048" t="n">
        <v>0.1154</v>
      </c>
      <c r="S3048">
        <f>IMAGE("https://mitra.stanford.edu/kundaje/oak/projects/neuro-variants/variant_position/credible/roussos_2024/variant_figures/roussos_2024.childhood.GLU/rs7675843_count_position.png",4,220,900)</f>
        <v/>
      </c>
      <c r="T3048">
        <f>IMAGE("https://mitra.stanford.edu/kundaje/oak/projects/neuro-variants/variant_position/credible/roussos_2024/variant_figures/roussos_2024.childhood.GLU/rs7675843_profile_position.png",4,220,900)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0.0046066393999999</v>
      </c>
      <c r="G3049" t="n">
        <v>0.6427020744985149</v>
      </c>
      <c r="H3049" t="n">
        <v>0.0217973142851708</v>
      </c>
      <c r="I3049" t="n">
        <v>0.0723690534455302</v>
      </c>
      <c r="J3049" t="n">
        <v>0.0049100106112272</v>
      </c>
      <c r="K3049" t="n">
        <v>0.6842553887953097</v>
      </c>
      <c r="L3049" t="b">
        <v>0</v>
      </c>
      <c r="M3049" t="b">
        <v>0</v>
      </c>
      <c r="N3049" t="inlineStr">
        <is>
          <t>alt</t>
        </is>
      </c>
      <c r="O3049" t="n">
        <v>85</v>
      </c>
      <c r="P3049" t="n">
        <v>0.009094</v>
      </c>
      <c r="Q3049" t="n">
        <v>100</v>
      </c>
      <c r="R3049" t="n">
        <v>0.1203</v>
      </c>
      <c r="S3049">
        <f>IMAGE("https://mitra.stanford.edu/kundaje/oak/projects/neuro-variants/variant_position/credible/roussos_2024/variant_figures/roussos_2024.childhood.GLU/rs9685762_count_position.png",4,220,900)</f>
        <v/>
      </c>
      <c r="T3049">
        <f>IMAGE("https://mitra.stanford.edu/kundaje/oak/projects/neuro-variants/variant_position/credible/roussos_2024/variant_figures/roussos_2024.childhood.GLU/rs9685762_profile_position.png",4,220,900)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0.0138438094319999</v>
      </c>
      <c r="G3050" t="n">
        <v>0.516514870496426</v>
      </c>
      <c r="H3050" t="n">
        <v>0.0136939965519986</v>
      </c>
      <c r="I3050" t="n">
        <v>0.3305679553097262</v>
      </c>
      <c r="J3050" t="n">
        <v>0.0931449411231417</v>
      </c>
      <c r="K3050" t="n">
        <v>0.2545880370762721</v>
      </c>
      <c r="L3050" t="b">
        <v>0</v>
      </c>
      <c r="M3050" t="b">
        <v>0</v>
      </c>
      <c r="N3050" t="inlineStr">
        <is>
          <t>alt</t>
        </is>
      </c>
      <c r="O3050" t="n">
        <v>-90</v>
      </c>
      <c r="P3050" t="n">
        <v>0.0282</v>
      </c>
      <c r="Q3050" t="n">
        <v>-80</v>
      </c>
      <c r="R3050" t="n">
        <v>0.3044</v>
      </c>
      <c r="S3050">
        <f>IMAGE("https://mitra.stanford.edu/kundaje/oak/projects/neuro-variants/variant_position/credible/roussos_2024/variant_figures/roussos_2024.childhood.GLU/rs17005062_count_position.png",4,220,900)</f>
        <v/>
      </c>
      <c r="T3050">
        <f>IMAGE("https://mitra.stanford.edu/kundaje/oak/projects/neuro-variants/variant_position/credible/roussos_2024/variant_figures/roussos_2024.childhood.GLU/rs17005062_profile_position.png",4,220,900)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0.2063106339999999</v>
      </c>
      <c r="G3051" t="n">
        <v>0.0076571408086325</v>
      </c>
      <c r="H3051" t="n">
        <v>0.0328940427756102</v>
      </c>
      <c r="I3051" t="n">
        <v>0.0163558460247759</v>
      </c>
      <c r="J3051" t="n">
        <v>0.0554925978962984</v>
      </c>
      <c r="K3051" t="n">
        <v>0.3341261234016922</v>
      </c>
      <c r="L3051" t="b">
        <v>1</v>
      </c>
      <c r="M3051" t="b">
        <v>1</v>
      </c>
      <c r="N3051" t="inlineStr">
        <is>
          <t>alt</t>
        </is>
      </c>
      <c r="O3051" t="n">
        <v>-45</v>
      </c>
      <c r="P3051" t="n">
        <v>0.01018</v>
      </c>
      <c r="Q3051" t="n">
        <v>-30</v>
      </c>
      <c r="R3051" t="n">
        <v>0.02734</v>
      </c>
      <c r="S3051">
        <f>IMAGE("https://mitra.stanford.edu/kundaje/oak/projects/neuro-variants/variant_position/credible/roussos_2024/variant_figures/roussos_2024.childhood.GLU/rs1443539_count_position.png",4,220,900)</f>
        <v/>
      </c>
      <c r="T3051">
        <f>IMAGE("https://mitra.stanford.edu/kundaje/oak/projects/neuro-variants/variant_position/credible/roussos_2024/variant_figures/roussos_2024.childhood.GLU/rs1443539_profile_position.png",4,220,900)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0.0443909822</v>
      </c>
      <c r="G3052" t="n">
        <v>0.0956432726000456</v>
      </c>
      <c r="H3052" t="n">
        <v>0.0207996892235389</v>
      </c>
      <c r="I3052" t="n">
        <v>0.0937650416667881</v>
      </c>
      <c r="J3052" t="n">
        <v>0.5440530767408079</v>
      </c>
      <c r="K3052" t="n">
        <v>0.0344074995478584</v>
      </c>
      <c r="L3052" t="b">
        <v>0</v>
      </c>
      <c r="M3052" t="b">
        <v>0</v>
      </c>
      <c r="N3052" t="inlineStr">
        <is>
          <t>alt</t>
        </is>
      </c>
      <c r="O3052" t="n">
        <v>-25</v>
      </c>
      <c r="P3052" t="n">
        <v>0.003342</v>
      </c>
      <c r="Q3052" t="n">
        <v>-50</v>
      </c>
      <c r="R3052" t="n">
        <v>0.0901</v>
      </c>
      <c r="S3052">
        <f>IMAGE("https://mitra.stanford.edu/kundaje/oak/projects/neuro-variants/variant_position/credible/roussos_2024/variant_figures/roussos_2024.childhood.GLU/rs151421_count_position.png",4,220,900)</f>
        <v/>
      </c>
      <c r="T3052">
        <f>IMAGE("https://mitra.stanford.edu/kundaje/oak/projects/neuro-variants/variant_position/credible/roussos_2024/variant_figures/roussos_2024.childhood.GLU/rs151421_profile_position.png",4,220,900)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0.1376169552</v>
      </c>
      <c r="G3053" t="n">
        <v>0.0284933916544099</v>
      </c>
      <c r="H3053" t="n">
        <v>0.0251683941531413</v>
      </c>
      <c r="I3053" t="n">
        <v>0.0594522752416121</v>
      </c>
      <c r="J3053" t="n">
        <v>0.0286575252145424</v>
      </c>
      <c r="K3053" t="n">
        <v>0.4473766614303142</v>
      </c>
      <c r="L3053" t="b">
        <v>0</v>
      </c>
      <c r="M3053" t="b">
        <v>0</v>
      </c>
      <c r="N3053" t="inlineStr">
        <is>
          <t>alt</t>
        </is>
      </c>
      <c r="O3053" t="n">
        <v>90</v>
      </c>
      <c r="P3053" t="n">
        <v>0.005447</v>
      </c>
      <c r="Q3053" t="n">
        <v>20</v>
      </c>
      <c r="R3053" t="n">
        <v>0.1033</v>
      </c>
      <c r="S3053">
        <f>IMAGE("https://mitra.stanford.edu/kundaje/oak/projects/neuro-variants/variant_position/credible/roussos_2024/variant_figures/roussos_2024.childhood.GLU/rs150898_count_position.png",4,220,900)</f>
        <v/>
      </c>
      <c r="T3053">
        <f>IMAGE("https://mitra.stanford.edu/kundaje/oak/projects/neuro-variants/variant_position/credible/roussos_2024/variant_figures/roussos_2024.childhood.GLU/rs150898_profile_position.png",4,220,900)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-0.0525796682</v>
      </c>
      <c r="G3054" t="n">
        <v>0.1671906682361573</v>
      </c>
      <c r="H3054" t="n">
        <v>0.0124873924391692</v>
      </c>
      <c r="I3054" t="n">
        <v>0.4044234640333992</v>
      </c>
      <c r="J3054" t="n">
        <v>0.007460826027383</v>
      </c>
      <c r="K3054" t="n">
        <v>0.6234200784387068</v>
      </c>
      <c r="L3054" t="b">
        <v>0</v>
      </c>
      <c r="M3054" t="b">
        <v>0</v>
      </c>
      <c r="N3054" t="inlineStr">
        <is>
          <t>ref</t>
        </is>
      </c>
      <c r="O3054" t="n">
        <v>40</v>
      </c>
      <c r="P3054" t="n">
        <v>0.0224</v>
      </c>
      <c r="Q3054" t="n">
        <v>-5</v>
      </c>
      <c r="R3054" t="n">
        <v>0.0001221</v>
      </c>
      <c r="S3054">
        <f>IMAGE("https://mitra.stanford.edu/kundaje/oak/projects/neuro-variants/variant_position/credible/roussos_2024/variant_figures/roussos_2024.childhood.GLU/rs223473_count_position.png",4,220,900)</f>
        <v/>
      </c>
      <c r="T3054">
        <f>IMAGE("https://mitra.stanford.edu/kundaje/oak/projects/neuro-variants/variant_position/credible/roussos_2024/variant_figures/roussos_2024.childhood.GLU/rs223473_profile_position.png",4,220,900)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0.1106806152</v>
      </c>
      <c r="G3055" t="n">
        <v>0.0351853813272901</v>
      </c>
      <c r="H3055" t="n">
        <v>0.0330460018369842</v>
      </c>
      <c r="I3055" t="n">
        <v>0.0147785108709245</v>
      </c>
      <c r="J3055" t="n">
        <v>0.0121617027414053</v>
      </c>
      <c r="K3055" t="n">
        <v>0.5682106685788786</v>
      </c>
      <c r="L3055" t="b">
        <v>1</v>
      </c>
      <c r="M3055" t="b">
        <v>0</v>
      </c>
      <c r="N3055" t="inlineStr">
        <is>
          <t>alt</t>
        </is>
      </c>
      <c r="O3055" t="n">
        <v>100</v>
      </c>
      <c r="P3055" t="n">
        <v>0.00839</v>
      </c>
      <c r="Q3055" t="n">
        <v>-65</v>
      </c>
      <c r="R3055" t="n">
        <v>0.02686</v>
      </c>
      <c r="S3055">
        <f>IMAGE("https://mitra.stanford.edu/kundaje/oak/projects/neuro-variants/variant_position/credible/roussos_2024/variant_figures/roussos_2024.childhood.GLU/rs223471_count_position.png",4,220,900)</f>
        <v/>
      </c>
      <c r="T3055">
        <f>IMAGE("https://mitra.stanford.edu/kundaje/oak/projects/neuro-variants/variant_position/credible/roussos_2024/variant_figures/roussos_2024.childhood.GLU/rs223471_profile_position.png",4,220,900)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-0.031640786</v>
      </c>
      <c r="G3056" t="n">
        <v>0.3207165772233793</v>
      </c>
      <c r="H3056" t="n">
        <v>0.0508111742172572</v>
      </c>
      <c r="I3056" t="n">
        <v>0.0025826047567654</v>
      </c>
      <c r="J3056" t="n">
        <v>0.0157035861827397</v>
      </c>
      <c r="K3056" t="n">
        <v>0.5252397188939096</v>
      </c>
      <c r="L3056" t="b">
        <v>1</v>
      </c>
      <c r="M3056" t="b">
        <v>0</v>
      </c>
      <c r="N3056" t="inlineStr">
        <is>
          <t>ref</t>
        </is>
      </c>
      <c r="O3056" t="n">
        <v>80</v>
      </c>
      <c r="P3056" t="n">
        <v>0.02606</v>
      </c>
      <c r="Q3056" t="n">
        <v>80</v>
      </c>
      <c r="R3056" t="n">
        <v>0.0764</v>
      </c>
      <c r="S3056">
        <f>IMAGE("https://mitra.stanford.edu/kundaje/oak/projects/neuro-variants/variant_position/credible/roussos_2024/variant_figures/roussos_2024.childhood.GLU/rs223465_count_position.png",4,220,900)</f>
        <v/>
      </c>
      <c r="T3056">
        <f>IMAGE("https://mitra.stanford.edu/kundaje/oak/projects/neuro-variants/variant_position/credible/roussos_2024/variant_figures/roussos_2024.childhood.GLU/rs223465_profile_position.png",4,220,900)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0.0795506086</v>
      </c>
      <c r="G3057" t="n">
        <v>0.0760787337182644</v>
      </c>
      <c r="H3057" t="n">
        <v>0.012487004686869</v>
      </c>
      <c r="I3057" t="n">
        <v>0.4152874271911579</v>
      </c>
      <c r="J3057" t="n">
        <v>0.0090597216355712</v>
      </c>
      <c r="K3057" t="n">
        <v>0.6914146973860165</v>
      </c>
      <c r="L3057" t="b">
        <v>0</v>
      </c>
      <c r="M3057" t="b">
        <v>0</v>
      </c>
      <c r="N3057" t="inlineStr">
        <is>
          <t>alt</t>
        </is>
      </c>
      <c r="O3057" t="n">
        <v>-100</v>
      </c>
      <c r="P3057" t="n">
        <v>0.01108</v>
      </c>
      <c r="Q3057" t="n">
        <v>100</v>
      </c>
      <c r="R3057" t="n">
        <v>0.3054</v>
      </c>
      <c r="S3057">
        <f>IMAGE("https://mitra.stanford.edu/kundaje/oak/projects/neuro-variants/variant_position/credible/roussos_2024/variant_figures/roussos_2024.childhood.GLU/rs223460_count_position.png",4,220,900)</f>
        <v/>
      </c>
      <c r="T3057">
        <f>IMAGE("https://mitra.stanford.edu/kundaje/oak/projects/neuro-variants/variant_position/credible/roussos_2024/variant_figures/roussos_2024.childhood.GLU/rs223460_profile_position.png",4,220,900)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0.0579925932</v>
      </c>
      <c r="G3058" t="n">
        <v>0.132224832041137</v>
      </c>
      <c r="H3058" t="n">
        <v>0.0150796511777181</v>
      </c>
      <c r="I3058" t="n">
        <v>0.2536168865251497</v>
      </c>
      <c r="J3058" t="n">
        <v>0.0517776381262426</v>
      </c>
      <c r="K3058" t="n">
        <v>0.3463011231773427</v>
      </c>
      <c r="L3058" t="b">
        <v>0</v>
      </c>
      <c r="M3058" t="b">
        <v>0</v>
      </c>
      <c r="N3058" t="inlineStr">
        <is>
          <t>alt</t>
        </is>
      </c>
      <c r="O3058" t="n">
        <v>-100</v>
      </c>
      <c r="P3058" t="n">
        <v>0.01743</v>
      </c>
      <c r="Q3058" t="n">
        <v>70</v>
      </c>
      <c r="R3058" t="n">
        <v>0.06859999999999999</v>
      </c>
      <c r="S3058">
        <f>IMAGE("https://mitra.stanford.edu/kundaje/oak/projects/neuro-variants/variant_position/credible/roussos_2024/variant_figures/roussos_2024.childhood.GLU/rs223456_count_position.png",4,220,900)</f>
        <v/>
      </c>
      <c r="T3058">
        <f>IMAGE("https://mitra.stanford.edu/kundaje/oak/projects/neuro-variants/variant_position/credible/roussos_2024/variant_figures/roussos_2024.childhood.GLU/rs223456_profile_position.png",4,220,900)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0.05341846976</v>
      </c>
      <c r="G3059" t="n">
        <v>0.1561300510583075</v>
      </c>
      <c r="H3059" t="n">
        <v>0.0107578902316656</v>
      </c>
      <c r="I3059" t="n">
        <v>0.5749081441339496</v>
      </c>
      <c r="J3059" t="n">
        <v>0.1942338796913471</v>
      </c>
      <c r="K3059" t="n">
        <v>0.153980005835364</v>
      </c>
      <c r="L3059" t="b">
        <v>0</v>
      </c>
      <c r="M3059" t="b">
        <v>0</v>
      </c>
      <c r="N3059" t="inlineStr">
        <is>
          <t>alt</t>
        </is>
      </c>
      <c r="O3059" t="n">
        <v>-90</v>
      </c>
      <c r="P3059" t="n">
        <v>0.0152</v>
      </c>
      <c r="Q3059" t="n">
        <v>-90</v>
      </c>
      <c r="R3059" t="n">
        <v>0.2908</v>
      </c>
      <c r="S3059">
        <f>IMAGE("https://mitra.stanford.edu/kundaje/oak/projects/neuro-variants/variant_position/credible/roussos_2024/variant_figures/roussos_2024.childhood.GLU/rs223434_count_position.png",4,220,900)</f>
        <v/>
      </c>
      <c r="T3059">
        <f>IMAGE("https://mitra.stanford.edu/kundaje/oak/projects/neuro-variants/variant_position/credible/roussos_2024/variant_figures/roussos_2024.childhood.GLU/rs223434_profile_position.png",4,220,900)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0.1358506449999999</v>
      </c>
      <c r="G3060" t="n">
        <v>0.0251830976243352</v>
      </c>
      <c r="H3060" t="n">
        <v>0.0340899111006208</v>
      </c>
      <c r="I3060" t="n">
        <v>0.0126380454037258</v>
      </c>
      <c r="J3060" t="n">
        <v>0.0046071270359648</v>
      </c>
      <c r="K3060" t="n">
        <v>0.7004189820019967</v>
      </c>
      <c r="L3060" t="b">
        <v>0</v>
      </c>
      <c r="M3060" t="b">
        <v>0</v>
      </c>
      <c r="N3060" t="inlineStr">
        <is>
          <t>alt</t>
        </is>
      </c>
      <c r="O3060" t="n">
        <v>50</v>
      </c>
      <c r="P3060" t="n">
        <v>0.003853</v>
      </c>
      <c r="Q3060" t="n">
        <v>50</v>
      </c>
      <c r="R3060" t="n">
        <v>0.09625</v>
      </c>
      <c r="S3060">
        <f>IMAGE("https://mitra.stanford.edu/kundaje/oak/projects/neuro-variants/variant_position/credible/roussos_2024/variant_figures/roussos_2024.childhood.GLU/rs223426_count_position.png",4,220,900)</f>
        <v/>
      </c>
      <c r="T3060">
        <f>IMAGE("https://mitra.stanford.edu/kundaje/oak/projects/neuro-variants/variant_position/credible/roussos_2024/variant_figures/roussos_2024.childhood.GLU/rs223426_profile_position.png",4,220,900)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-0.0536207122</v>
      </c>
      <c r="G3061" t="n">
        <v>0.1658501477135869</v>
      </c>
      <c r="H3061" t="n">
        <v>0.0118872918215816</v>
      </c>
      <c r="I3061" t="n">
        <v>0.4631219568743864</v>
      </c>
      <c r="J3061" t="n">
        <v>0.0070301956380643</v>
      </c>
      <c r="K3061" t="n">
        <v>0.6382385654047549</v>
      </c>
      <c r="L3061" t="b">
        <v>0</v>
      </c>
      <c r="M3061" t="b">
        <v>0</v>
      </c>
      <c r="N3061" t="inlineStr">
        <is>
          <t>ref</t>
        </is>
      </c>
      <c r="O3061" t="n">
        <v>-100</v>
      </c>
      <c r="P3061" t="n">
        <v>0.01006</v>
      </c>
      <c r="Q3061" t="n">
        <v>100</v>
      </c>
      <c r="R3061" t="n">
        <v>0.1246</v>
      </c>
      <c r="S3061">
        <f>IMAGE("https://mitra.stanford.edu/kundaje/oak/projects/neuro-variants/variant_position/credible/roussos_2024/variant_figures/roussos_2024.childhood.GLU/rs223415_count_position.png",4,220,900)</f>
        <v/>
      </c>
      <c r="T3061">
        <f>IMAGE("https://mitra.stanford.edu/kundaje/oak/projects/neuro-variants/variant_position/credible/roussos_2024/variant_figures/roussos_2024.childhood.GLU/rs223415_profile_position.png",4,220,900)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0.0294975418</v>
      </c>
      <c r="G3062" t="n">
        <v>0.3210040489232071</v>
      </c>
      <c r="H3062" t="n">
        <v>0.021765151044403</v>
      </c>
      <c r="I3062" t="n">
        <v>0.07554653686304851</v>
      </c>
      <c r="J3062" t="n">
        <v>0.06801590653878239</v>
      </c>
      <c r="K3062" t="n">
        <v>0.3129440999454744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0.02005</v>
      </c>
      <c r="Q3062" t="n">
        <v>95</v>
      </c>
      <c r="R3062" t="n">
        <v>0.1567</v>
      </c>
      <c r="S3062">
        <f>IMAGE("https://mitra.stanford.edu/kundaje/oak/projects/neuro-variants/variant_position/credible/roussos_2024/variant_figures/roussos_2024.childhood.GLU/rs223412_count_position.png",4,220,900)</f>
        <v/>
      </c>
      <c r="T3062">
        <f>IMAGE("https://mitra.stanford.edu/kundaje/oak/projects/neuro-variants/variant_position/credible/roussos_2024/variant_figures/roussos_2024.childhood.GLU/rs223412_profile_position.png",4,220,900)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0.0004265488599999</v>
      </c>
      <c r="G3063" t="n">
        <v>0.721401578166873</v>
      </c>
      <c r="H3063" t="n">
        <v>0.0428584611317729</v>
      </c>
      <c r="I3063" t="n">
        <v>0.0050965053234731</v>
      </c>
      <c r="J3063" t="n">
        <v>0.0010477299185098</v>
      </c>
      <c r="K3063" t="n">
        <v>0.8447205584038859</v>
      </c>
      <c r="L3063" t="b">
        <v>0</v>
      </c>
      <c r="M3063" t="b">
        <v>0</v>
      </c>
      <c r="N3063" t="inlineStr">
        <is>
          <t>alt</t>
        </is>
      </c>
      <c r="O3063" t="n">
        <v>95</v>
      </c>
      <c r="P3063" t="n">
        <v>0.013824</v>
      </c>
      <c r="Q3063" t="n">
        <v>100</v>
      </c>
      <c r="R3063" t="n">
        <v>0.396</v>
      </c>
      <c r="S3063">
        <f>IMAGE("https://mitra.stanford.edu/kundaje/oak/projects/neuro-variants/variant_position/credible/roussos_2024/variant_figures/roussos_2024.childhood.GLU/rs223406_count_position.png",4,220,900)</f>
        <v/>
      </c>
      <c r="T3063">
        <f>IMAGE("https://mitra.stanford.edu/kundaje/oak/projects/neuro-variants/variant_position/credible/roussos_2024/variant_figures/roussos_2024.childhood.GLU/rs223406_profile_position.png",4,220,900)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2.428582000000012e-05</v>
      </c>
      <c r="G3064" t="n">
        <v>0.7954963811654612</v>
      </c>
      <c r="H3064" t="n">
        <v>0.0214862784757825</v>
      </c>
      <c r="I3064" t="n">
        <v>0.0765453885588684</v>
      </c>
      <c r="J3064" t="n">
        <v>0.0023756786549496</v>
      </c>
      <c r="K3064" t="n">
        <v>0.7561626909998292</v>
      </c>
      <c r="L3064" t="b">
        <v>0</v>
      </c>
      <c r="M3064" t="b">
        <v>0</v>
      </c>
      <c r="N3064" t="inlineStr">
        <is>
          <t>alt</t>
        </is>
      </c>
      <c r="O3064" t="n">
        <v>-65</v>
      </c>
      <c r="P3064" t="n">
        <v>0.003395</v>
      </c>
      <c r="Q3064" t="n">
        <v>100</v>
      </c>
      <c r="R3064" t="n">
        <v>0.1443</v>
      </c>
      <c r="S3064">
        <f>IMAGE("https://mitra.stanford.edu/kundaje/oak/projects/neuro-variants/variant_position/credible/roussos_2024/variant_figures/roussos_2024.childhood.GLU/rs223395_count_position.png",4,220,900)</f>
        <v/>
      </c>
      <c r="T3064">
        <f>IMAGE("https://mitra.stanford.edu/kundaje/oak/projects/neuro-variants/variant_position/credible/roussos_2024/variant_figures/roussos_2024.childhood.GLU/rs223395_profile_position.png",4,220,900)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0.0131251216599999</v>
      </c>
      <c r="G3065" t="n">
        <v>0.4909863023063263</v>
      </c>
      <c r="H3065" t="n">
        <v>0.0102082219605352</v>
      </c>
      <c r="I3065" t="n">
        <v>0.6273144235348023</v>
      </c>
      <c r="J3065" t="n">
        <v>0.0093512728321674</v>
      </c>
      <c r="K3065" t="n">
        <v>0.5932899201139156</v>
      </c>
      <c r="L3065" t="b">
        <v>0</v>
      </c>
      <c r="M3065" t="b">
        <v>0</v>
      </c>
      <c r="N3065" t="inlineStr">
        <is>
          <t>alt</t>
        </is>
      </c>
      <c r="O3065" t="n">
        <v>-95</v>
      </c>
      <c r="P3065" t="n">
        <v>0.07530000000000001</v>
      </c>
      <c r="Q3065" t="n">
        <v>-90</v>
      </c>
      <c r="R3065" t="n">
        <v>0.1288</v>
      </c>
      <c r="S3065">
        <f>IMAGE("https://mitra.stanford.edu/kundaje/oak/projects/neuro-variants/variant_position/credible/roussos_2024/variant_figures/roussos_2024.childhood.GLU/rs223380_count_position.png",4,220,900)</f>
        <v/>
      </c>
      <c r="T3065">
        <f>IMAGE("https://mitra.stanford.edu/kundaje/oak/projects/neuro-variants/variant_position/credible/roussos_2024/variant_figures/roussos_2024.childhood.GLU/rs223380_profile_position.png",4,220,900)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0.0006863253</v>
      </c>
      <c r="G3066" t="n">
        <v>0.8124439188042269</v>
      </c>
      <c r="H3066" t="n">
        <v>0.0215747737006218</v>
      </c>
      <c r="I3066" t="n">
        <v>0.0765619820465325</v>
      </c>
      <c r="J3066" t="n">
        <v>0.0016977963674574</v>
      </c>
      <c r="K3066" t="n">
        <v>0.7828209116328501</v>
      </c>
      <c r="L3066" t="b">
        <v>0</v>
      </c>
      <c r="M3066" t="b">
        <v>0</v>
      </c>
      <c r="N3066" t="inlineStr">
        <is>
          <t>alt</t>
        </is>
      </c>
      <c r="O3066" t="n">
        <v>-90</v>
      </c>
      <c r="P3066" t="n">
        <v>0.010315</v>
      </c>
      <c r="Q3066" t="n">
        <v>-100</v>
      </c>
      <c r="R3066" t="n">
        <v>0.0854</v>
      </c>
      <c r="S3066">
        <f>IMAGE("https://mitra.stanford.edu/kundaje/oak/projects/neuro-variants/variant_position/credible/roussos_2024/variant_figures/roussos_2024.childhood.GLU/rs223359_count_position.png",4,220,900)</f>
        <v/>
      </c>
      <c r="T3066">
        <f>IMAGE("https://mitra.stanford.edu/kundaje/oak/projects/neuro-variants/variant_position/credible/roussos_2024/variant_figures/roussos_2024.childhood.GLU/rs223359_profile_position.png",4,220,900)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-0.0109602409999999</v>
      </c>
      <c r="G3067" t="n">
        <v>0.654122527997677</v>
      </c>
      <c r="H3067" t="n">
        <v>0.0324806779124621</v>
      </c>
      <c r="I3067" t="n">
        <v>0.0156418331777063</v>
      </c>
      <c r="J3067" t="n">
        <v>0.0041280764832537</v>
      </c>
      <c r="K3067" t="n">
        <v>0.6943087321586658</v>
      </c>
      <c r="L3067" t="b">
        <v>0</v>
      </c>
      <c r="M3067" t="b">
        <v>0</v>
      </c>
      <c r="N3067" t="inlineStr">
        <is>
          <t>ref</t>
        </is>
      </c>
      <c r="O3067" t="n">
        <v>-95</v>
      </c>
      <c r="P3067" t="n">
        <v>0.006897</v>
      </c>
      <c r="Q3067" t="n">
        <v>-100</v>
      </c>
      <c r="R3067" t="n">
        <v>0.1895</v>
      </c>
      <c r="S3067">
        <f>IMAGE("https://mitra.stanford.edu/kundaje/oak/projects/neuro-variants/variant_position/credible/roussos_2024/variant_figures/roussos_2024.childhood.GLU/rs223357_count_position.png",4,220,900)</f>
        <v/>
      </c>
      <c r="T3067">
        <f>IMAGE("https://mitra.stanford.edu/kundaje/oak/projects/neuro-variants/variant_position/credible/roussos_2024/variant_figures/roussos_2024.childhood.GLU/rs223357_profile_position.png",4,220,900)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-0.014952753</v>
      </c>
      <c r="G3068" t="n">
        <v>0.1751022595542253</v>
      </c>
      <c r="H3068" t="n">
        <v>0.0204072771557362</v>
      </c>
      <c r="I3068" t="n">
        <v>0.0936408241841117</v>
      </c>
      <c r="J3068" t="n">
        <v>0.040287636374875</v>
      </c>
      <c r="K3068" t="n">
        <v>0.3809667538788612</v>
      </c>
      <c r="L3068" t="b">
        <v>0</v>
      </c>
      <c r="M3068" t="b">
        <v>0</v>
      </c>
      <c r="N3068" t="inlineStr">
        <is>
          <t>ref</t>
        </is>
      </c>
      <c r="O3068" t="n">
        <v>85</v>
      </c>
      <c r="P3068" t="n">
        <v>0.0218</v>
      </c>
      <c r="Q3068" t="n">
        <v>100</v>
      </c>
      <c r="R3068" t="n">
        <v>0.2925</v>
      </c>
      <c r="S3068">
        <f>IMAGE("https://mitra.stanford.edu/kundaje/oak/projects/neuro-variants/variant_position/credible/roussos_2024/variant_figures/roussos_2024.childhood.GLU/rs223353_count_position.png",4,220,900)</f>
        <v/>
      </c>
      <c r="T3068">
        <f>IMAGE("https://mitra.stanford.edu/kundaje/oak/projects/neuro-variants/variant_position/credible/roussos_2024/variant_figures/roussos_2024.childhood.GLU/rs223353_profile_position.png",4,220,900)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-0.0725394659999999</v>
      </c>
      <c r="G3069" t="n">
        <v>0.0905544943338726</v>
      </c>
      <c r="H3069" t="n">
        <v>0.0129141603197549</v>
      </c>
      <c r="I3069" t="n">
        <v>0.3762076123369944</v>
      </c>
      <c r="J3069" t="n">
        <v>0.0261777947191115</v>
      </c>
      <c r="K3069" t="n">
        <v>0.4475055072328653</v>
      </c>
      <c r="L3069" t="b">
        <v>0</v>
      </c>
      <c r="M3069" t="b">
        <v>0</v>
      </c>
      <c r="N3069" t="inlineStr">
        <is>
          <t>ref</t>
        </is>
      </c>
      <c r="O3069" t="n">
        <v>100</v>
      </c>
      <c r="P3069" t="n">
        <v>0.02113</v>
      </c>
      <c r="Q3069" t="n">
        <v>0</v>
      </c>
      <c r="R3069" t="n">
        <v>0</v>
      </c>
      <c r="S3069">
        <f>IMAGE("https://mitra.stanford.edu/kundaje/oak/projects/neuro-variants/variant_position/credible/roussos_2024/variant_figures/roussos_2024.childhood.GLU/rs223351_count_position.png",4,220,900)</f>
        <v/>
      </c>
      <c r="T3069">
        <f>IMAGE("https://mitra.stanford.edu/kundaje/oak/projects/neuro-variants/variant_position/credible/roussos_2024/variant_figures/roussos_2024.childhood.GLU/rs223351_profile_position.png",4,220,900)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-0.0011448703339999</v>
      </c>
      <c r="G3070" t="n">
        <v>0.8629403854675083</v>
      </c>
      <c r="H3070" t="n">
        <v>0.0228178548245146</v>
      </c>
      <c r="I3070" t="n">
        <v>0.0619836497252809</v>
      </c>
      <c r="J3070" t="n">
        <v>0.0003440922249579</v>
      </c>
      <c r="K3070" t="n">
        <v>0.8896505075097068</v>
      </c>
      <c r="L3070" t="b">
        <v>0</v>
      </c>
      <c r="M3070" t="b">
        <v>0</v>
      </c>
      <c r="N3070" t="inlineStr">
        <is>
          <t>ref</t>
        </is>
      </c>
      <c r="O3070" t="n">
        <v>-70</v>
      </c>
      <c r="P3070" t="n">
        <v>0.009155</v>
      </c>
      <c r="Q3070" t="n">
        <v>-75</v>
      </c>
      <c r="R3070" t="n">
        <v>0.0718</v>
      </c>
      <c r="S3070">
        <f>IMAGE("https://mitra.stanford.edu/kundaje/oak/projects/neuro-variants/variant_position/credible/roussos_2024/variant_figures/roussos_2024.childhood.GLU/rs223341_count_position.png",4,220,900)</f>
        <v/>
      </c>
      <c r="T3070">
        <f>IMAGE("https://mitra.stanford.edu/kundaje/oak/projects/neuro-variants/variant_position/credible/roussos_2024/variant_figures/roussos_2024.childhood.GLU/rs223341_profile_position.png",4,220,900)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-0.0728628899999999</v>
      </c>
      <c r="G3071" t="n">
        <v>0.093006335628396</v>
      </c>
      <c r="H3071" t="n">
        <v>0.0305967154683826</v>
      </c>
      <c r="I3071" t="n">
        <v>0.0206069308249093</v>
      </c>
      <c r="J3071" t="n">
        <v>0.961570873726395</v>
      </c>
      <c r="K3071" t="n">
        <v>0.0002104542154919</v>
      </c>
      <c r="L3071" t="b">
        <v>0</v>
      </c>
      <c r="M3071" t="b">
        <v>0</v>
      </c>
      <c r="N3071" t="inlineStr">
        <is>
          <t>ref</t>
        </is>
      </c>
      <c r="O3071" t="n">
        <v>-55</v>
      </c>
      <c r="P3071" t="n">
        <v>0.02405</v>
      </c>
      <c r="Q3071" t="n">
        <v>-55</v>
      </c>
      <c r="R3071" t="n">
        <v>0.1079</v>
      </c>
      <c r="S3071">
        <f>IMAGE("https://mitra.stanford.edu/kundaje/oak/projects/neuro-variants/variant_position/credible/roussos_2024/variant_figures/roussos_2024.childhood.GLU/rs223332_count_position.png",4,220,900)</f>
        <v/>
      </c>
      <c r="T3071">
        <f>IMAGE("https://mitra.stanford.edu/kundaje/oak/projects/neuro-variants/variant_position/credible/roussos_2024/variant_figures/roussos_2024.childhood.GLU/rs223332_profile_position.png",4,220,900)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-0.0534143992</v>
      </c>
      <c r="G3072" t="n">
        <v>0.1695179958042448</v>
      </c>
      <c r="H3072" t="n">
        <v>0.0116536634150438</v>
      </c>
      <c r="I3072" t="n">
        <v>0.4893646092461325</v>
      </c>
      <c r="J3072" t="n">
        <v>0.03242502601296</v>
      </c>
      <c r="K3072" t="n">
        <v>0.4268777050969383</v>
      </c>
      <c r="L3072" t="b">
        <v>0</v>
      </c>
      <c r="M3072" t="b">
        <v>0</v>
      </c>
      <c r="N3072" t="inlineStr">
        <is>
          <t>ref</t>
        </is>
      </c>
      <c r="O3072" t="n">
        <v>95</v>
      </c>
      <c r="P3072" t="n">
        <v>0.01347</v>
      </c>
      <c r="Q3072" t="n">
        <v>-100</v>
      </c>
      <c r="R3072" t="n">
        <v>0.227</v>
      </c>
      <c r="S3072">
        <f>IMAGE("https://mitra.stanford.edu/kundaje/oak/projects/neuro-variants/variant_position/credible/roussos_2024/variant_figures/roussos_2024.childhood.GLU/rs223329_count_position.png",4,220,900)</f>
        <v/>
      </c>
      <c r="T3072">
        <f>IMAGE("https://mitra.stanford.edu/kundaje/oak/projects/neuro-variants/variant_position/credible/roussos_2024/variant_figures/roussos_2024.childhood.GLU/rs223329_profile_position.png",4,220,900)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0.00744097672</v>
      </c>
      <c r="G3073" t="n">
        <v>0.58085443608455</v>
      </c>
      <c r="H3073" t="n">
        <v>0.0104115117084373</v>
      </c>
      <c r="I3073" t="n">
        <v>0.6149257695658243</v>
      </c>
      <c r="J3073" t="n">
        <v>0.0367869615832362</v>
      </c>
      <c r="K3073" t="n">
        <v>0.3972616161696887</v>
      </c>
      <c r="L3073" t="b">
        <v>0</v>
      </c>
      <c r="M3073" t="b">
        <v>0</v>
      </c>
      <c r="N3073" t="inlineStr">
        <is>
          <t>alt</t>
        </is>
      </c>
      <c r="O3073" t="n">
        <v>-90</v>
      </c>
      <c r="P3073" t="n">
        <v>0.01468</v>
      </c>
      <c r="Q3073" t="n">
        <v>80</v>
      </c>
      <c r="R3073" t="n">
        <v>0.02612</v>
      </c>
      <c r="S3073">
        <f>IMAGE("https://mitra.stanford.edu/kundaje/oak/projects/neuro-variants/variant_position/credible/roussos_2024/variant_figures/roussos_2024.childhood.GLU/rs223311_count_position.png",4,220,900)</f>
        <v/>
      </c>
      <c r="T3073">
        <f>IMAGE("https://mitra.stanford.edu/kundaje/oak/projects/neuro-variants/variant_position/credible/roussos_2024/variant_figures/roussos_2024.childhood.GLU/rs223311_profile_position.png",4,220,900)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0.0225618718</v>
      </c>
      <c r="G3074" t="n">
        <v>0.427060682862291</v>
      </c>
      <c r="H3074" t="n">
        <v>0.0119539327678771</v>
      </c>
      <c r="I3074" t="n">
        <v>0.4621227658933989</v>
      </c>
      <c r="J3074" t="n">
        <v>0.0232519805907259</v>
      </c>
      <c r="K3074" t="n">
        <v>0.481270858961517</v>
      </c>
      <c r="L3074" t="b">
        <v>0</v>
      </c>
      <c r="M3074" t="b">
        <v>0</v>
      </c>
      <c r="N3074" t="inlineStr">
        <is>
          <t>alt</t>
        </is>
      </c>
      <c r="O3074" t="n">
        <v>-100</v>
      </c>
      <c r="P3074" t="n">
        <v>0.01382</v>
      </c>
      <c r="Q3074" t="n">
        <v>-100</v>
      </c>
      <c r="R3074" t="n">
        <v>0.1621</v>
      </c>
      <c r="S3074">
        <f>IMAGE("https://mitra.stanford.edu/kundaje/oak/projects/neuro-variants/variant_position/credible/roussos_2024/variant_figures/roussos_2024.childhood.GLU/rs223310_count_position.png",4,220,900)</f>
        <v/>
      </c>
      <c r="T3074">
        <f>IMAGE("https://mitra.stanford.edu/kundaje/oak/projects/neuro-variants/variant_position/credible/roussos_2024/variant_figures/roussos_2024.childhood.GLU/rs223310_profile_position.png",4,220,900)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0.0700381192</v>
      </c>
      <c r="G3075" t="n">
        <v>0.09704393644086801</v>
      </c>
      <c r="H3075" t="n">
        <v>0.0104042732921498</v>
      </c>
      <c r="I3075" t="n">
        <v>0.617261197097239</v>
      </c>
      <c r="J3075" t="n">
        <v>0.0002915511965961</v>
      </c>
      <c r="K3075" t="n">
        <v>0.900524956892004</v>
      </c>
      <c r="L3075" t="b">
        <v>0</v>
      </c>
      <c r="M3075" t="b">
        <v>0</v>
      </c>
      <c r="N3075" t="inlineStr">
        <is>
          <t>alt</t>
        </is>
      </c>
      <c r="O3075" t="n">
        <v>-65</v>
      </c>
      <c r="P3075" t="n">
        <v>0.000847</v>
      </c>
      <c r="Q3075" t="n">
        <v>40</v>
      </c>
      <c r="R3075" t="n">
        <v>0.01019</v>
      </c>
      <c r="S3075">
        <f>IMAGE("https://mitra.stanford.edu/kundaje/oak/projects/neuro-variants/variant_position/credible/roussos_2024/variant_figures/roussos_2024.childhood.GLU/rs6830407_count_position.png",4,220,900)</f>
        <v/>
      </c>
      <c r="T3075">
        <f>IMAGE("https://mitra.stanford.edu/kundaje/oak/projects/neuro-variants/variant_position/credible/roussos_2024/variant_figures/roussos_2024.childhood.GLU/rs6830407_profile_position.png",4,220,900)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0.00308150045</v>
      </c>
      <c r="G3076" t="n">
        <v>0.8530583750406709</v>
      </c>
      <c r="H3076" t="n">
        <v>0.0343690358879092</v>
      </c>
      <c r="I3076" t="n">
        <v>0.0121929969442555</v>
      </c>
      <c r="J3076" t="n">
        <v>0.0215541842232684</v>
      </c>
      <c r="K3076" t="n">
        <v>0.4810317966844448</v>
      </c>
      <c r="L3076" t="b">
        <v>1</v>
      </c>
      <c r="M3076" t="b">
        <v>0</v>
      </c>
      <c r="N3076" t="inlineStr">
        <is>
          <t>alt</t>
        </is>
      </c>
      <c r="O3076" t="n">
        <v>80</v>
      </c>
      <c r="P3076" t="n">
        <v>0.01819</v>
      </c>
      <c r="Q3076" t="n">
        <v>80</v>
      </c>
      <c r="R3076" t="n">
        <v>0.12445</v>
      </c>
      <c r="S3076">
        <f>IMAGE("https://mitra.stanford.edu/kundaje/oak/projects/neuro-variants/variant_position/credible/roussos_2024/variant_figures/roussos_2024.childhood.GLU/rs10012413_count_position.png",4,220,900)</f>
        <v/>
      </c>
      <c r="T3076">
        <f>IMAGE("https://mitra.stanford.edu/kundaje/oak/projects/neuro-variants/variant_position/credible/roussos_2024/variant_figures/roussos_2024.childhood.GLU/rs10012413_profile_position.png",4,220,900)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0.158200806</v>
      </c>
      <c r="G3077" t="n">
        <v>0.0146633727104713</v>
      </c>
      <c r="H3077" t="n">
        <v>0.0308017009906145</v>
      </c>
      <c r="I3077" t="n">
        <v>0.0199640346655374</v>
      </c>
      <c r="J3077" t="n">
        <v>0.0332749544129312</v>
      </c>
      <c r="K3077" t="n">
        <v>0.4115547308028138</v>
      </c>
      <c r="L3077" t="b">
        <v>1</v>
      </c>
      <c r="M3077" t="b">
        <v>0</v>
      </c>
      <c r="N3077" t="inlineStr">
        <is>
          <t>alt</t>
        </is>
      </c>
      <c r="O3077" t="n">
        <v>-50</v>
      </c>
      <c r="P3077" t="n">
        <v>0.006035</v>
      </c>
      <c r="Q3077" t="n">
        <v>-80</v>
      </c>
      <c r="R3077" t="n">
        <v>0.1436</v>
      </c>
      <c r="S3077">
        <f>IMAGE("https://mitra.stanford.edu/kundaje/oak/projects/neuro-variants/variant_position/credible/roussos_2024/variant_figures/roussos_2024.childhood.GLU/rs4699033_count_position.png",4,220,900)</f>
        <v/>
      </c>
      <c r="T3077">
        <f>IMAGE("https://mitra.stanford.edu/kundaje/oak/projects/neuro-variants/variant_position/credible/roussos_2024/variant_figures/roussos_2024.childhood.GLU/rs4699033_profile_position.png",4,220,900)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-0.071510824</v>
      </c>
      <c r="G3078" t="n">
        <v>0.09349789165797399</v>
      </c>
      <c r="H3078" t="n">
        <v>0.0103094655657095</v>
      </c>
      <c r="I3078" t="n">
        <v>0.6214993912340904</v>
      </c>
      <c r="J3078" t="n">
        <v>0.0239617995817321</v>
      </c>
      <c r="K3078" t="n">
        <v>0.4689972446964857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0.004913</v>
      </c>
      <c r="Q3078" t="n">
        <v>-50</v>
      </c>
      <c r="R3078" t="n">
        <v>0.03473</v>
      </c>
      <c r="S3078">
        <f>IMAGE("https://mitra.stanford.edu/kundaje/oak/projects/neuro-variants/variant_position/credible/roussos_2024/variant_figures/roussos_2024.childhood.GLU/rs6821247_count_position.png",4,220,900)</f>
        <v/>
      </c>
      <c r="T3078">
        <f>IMAGE("https://mitra.stanford.edu/kundaje/oak/projects/neuro-variants/variant_position/credible/roussos_2024/variant_figures/roussos_2024.childhood.GLU/rs6821247_profile_position.png",4,220,900)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0.114499755</v>
      </c>
      <c r="G3079" t="n">
        <v>0.0339569280708498</v>
      </c>
      <c r="H3079" t="n">
        <v>0.024142805236435</v>
      </c>
      <c r="I3079" t="n">
        <v>0.0500471984932102</v>
      </c>
      <c r="J3079" t="n">
        <v>0.063399507556636</v>
      </c>
      <c r="K3079" t="n">
        <v>0.3172477793212708</v>
      </c>
      <c r="L3079" t="b">
        <v>0</v>
      </c>
      <c r="M3079" t="b">
        <v>0</v>
      </c>
      <c r="N3079" t="inlineStr">
        <is>
          <t>alt</t>
        </is>
      </c>
      <c r="O3079" t="n">
        <v>-95</v>
      </c>
      <c r="P3079" t="n">
        <v>0.003708</v>
      </c>
      <c r="Q3079" t="n">
        <v>-100</v>
      </c>
      <c r="R3079" t="n">
        <v>0.08765000000000001</v>
      </c>
      <c r="S3079">
        <f>IMAGE("https://mitra.stanford.edu/kundaje/oak/projects/neuro-variants/variant_position/credible/roussos_2024/variant_figures/roussos_2024.childhood.GLU/rs59550147_count_position.png",4,220,900)</f>
        <v/>
      </c>
      <c r="T3079">
        <f>IMAGE("https://mitra.stanford.edu/kundaje/oak/projects/neuro-variants/variant_position/credible/roussos_2024/variant_figures/roussos_2024.childhood.GLU/rs59550147_profile_position.png",4,220,900)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-0.036229932</v>
      </c>
      <c r="G3080" t="n">
        <v>0.286145935307152</v>
      </c>
      <c r="H3080" t="n">
        <v>0.0099338284597889</v>
      </c>
      <c r="I3080" t="n">
        <v>0.6729782957618503</v>
      </c>
      <c r="J3080" t="n">
        <v>0.001413456684558</v>
      </c>
      <c r="K3080" t="n">
        <v>0.7989132542165901</v>
      </c>
      <c r="L3080" t="b">
        <v>0</v>
      </c>
      <c r="M3080" t="b">
        <v>0</v>
      </c>
      <c r="N3080" t="inlineStr">
        <is>
          <t>ref</t>
        </is>
      </c>
      <c r="O3080" t="n">
        <v>25</v>
      </c>
      <c r="P3080" t="n">
        <v>0.0008809999999999999</v>
      </c>
      <c r="Q3080" t="n">
        <v>-40</v>
      </c>
      <c r="R3080" t="n">
        <v>0.1423</v>
      </c>
      <c r="S3080">
        <f>IMAGE("https://mitra.stanford.edu/kundaje/oak/projects/neuro-variants/variant_position/credible/roussos_2024/variant_figures/roussos_2024.childhood.GLU/rs7437714_count_position.png",4,220,900)</f>
        <v/>
      </c>
      <c r="T3080">
        <f>IMAGE("https://mitra.stanford.edu/kundaje/oak/projects/neuro-variants/variant_position/credible/roussos_2024/variant_figures/roussos_2024.childhood.GLU/rs7437714_profile_position.png",4,220,900)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0.000942267368</v>
      </c>
      <c r="G3081" t="n">
        <v>0.6586391540114412</v>
      </c>
      <c r="H3081" t="n">
        <v>0.0109274126851583</v>
      </c>
      <c r="I3081" t="n">
        <v>0.5507906889206877</v>
      </c>
      <c r="J3081" t="n">
        <v>0.0530087465358978</v>
      </c>
      <c r="K3081" t="n">
        <v>0.3418481717599556</v>
      </c>
      <c r="L3081" t="b">
        <v>0</v>
      </c>
      <c r="M3081" t="b">
        <v>0</v>
      </c>
      <c r="N3081" t="inlineStr">
        <is>
          <t>alt</t>
        </is>
      </c>
      <c r="O3081" t="n">
        <v>100</v>
      </c>
      <c r="P3081" t="n">
        <v>0.02362</v>
      </c>
      <c r="Q3081" t="n">
        <v>85</v>
      </c>
      <c r="R3081" t="n">
        <v>0.2886</v>
      </c>
      <c r="S3081">
        <f>IMAGE("https://mitra.stanford.edu/kundaje/oak/projects/neuro-variants/variant_position/credible/roussos_2024/variant_figures/roussos_2024.childhood.GLU/rs3974602_count_position.png",4,220,900)</f>
        <v/>
      </c>
      <c r="T3081">
        <f>IMAGE("https://mitra.stanford.edu/kundaje/oak/projects/neuro-variants/variant_position/credible/roussos_2024/variant_figures/roussos_2024.childhood.GLU/rs3974602_profile_position.png",4,220,900)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-0.03042341063</v>
      </c>
      <c r="G3082" t="n">
        <v>0.3772956235804672</v>
      </c>
      <c r="H3082" t="n">
        <v>0.010825523043924</v>
      </c>
      <c r="I3082" t="n">
        <v>0.54960689261611</v>
      </c>
      <c r="J3082" t="n">
        <v>0.0069282042300678</v>
      </c>
      <c r="K3082" t="n">
        <v>0.6479052193020861</v>
      </c>
      <c r="L3082" t="b">
        <v>0</v>
      </c>
      <c r="M3082" t="b">
        <v>0</v>
      </c>
      <c r="N3082" t="inlineStr">
        <is>
          <t>ref</t>
        </is>
      </c>
      <c r="O3082" t="n">
        <v>100</v>
      </c>
      <c r="P3082" t="n">
        <v>0.002388</v>
      </c>
      <c r="Q3082" t="n">
        <v>-30</v>
      </c>
      <c r="R3082" t="n">
        <v>0.0263</v>
      </c>
      <c r="S3082">
        <f>IMAGE("https://mitra.stanford.edu/kundaje/oak/projects/neuro-variants/variant_position/credible/roussos_2024/variant_figures/roussos_2024.childhood.GLU/rs7676943_count_position.png",4,220,900)</f>
        <v/>
      </c>
      <c r="T3082">
        <f>IMAGE("https://mitra.stanford.edu/kundaje/oak/projects/neuro-variants/variant_position/credible/roussos_2024/variant_figures/roussos_2024.childhood.GLU/rs7676943_profile_position.png",4,220,900)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0.0303914868</v>
      </c>
      <c r="G3083" t="n">
        <v>0.3185583134971831</v>
      </c>
      <c r="H3083" t="n">
        <v>0.0090273863335345</v>
      </c>
      <c r="I3083" t="n">
        <v>0.7548738590145273</v>
      </c>
      <c r="J3083" t="n">
        <v>0.0053385805680611</v>
      </c>
      <c r="K3083" t="n">
        <v>0.6755161899544861</v>
      </c>
      <c r="L3083" t="b">
        <v>0</v>
      </c>
      <c r="M3083" t="b">
        <v>0</v>
      </c>
      <c r="N3083" t="inlineStr">
        <is>
          <t>alt</t>
        </is>
      </c>
      <c r="O3083" t="n">
        <v>40</v>
      </c>
      <c r="P3083" t="n">
        <v>0.003284</v>
      </c>
      <c r="Q3083" t="n">
        <v>-75</v>
      </c>
      <c r="R3083" t="n">
        <v>0.0888</v>
      </c>
      <c r="S3083">
        <f>IMAGE("https://mitra.stanford.edu/kundaje/oak/projects/neuro-variants/variant_position/credible/roussos_2024/variant_figures/roussos_2024.childhood.GLU/rs4446311_count_position.png",4,220,900)</f>
        <v/>
      </c>
      <c r="T3083">
        <f>IMAGE("https://mitra.stanford.edu/kundaje/oak/projects/neuro-variants/variant_position/credible/roussos_2024/variant_figures/roussos_2024.childhood.GLU/rs4446311_profile_position.png",4,220,900)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0.0366577514</v>
      </c>
      <c r="G3084" t="n">
        <v>0.2756242557093317</v>
      </c>
      <c r="H3084" t="n">
        <v>0.0236464455024859</v>
      </c>
      <c r="I3084" t="n">
        <v>0.0539412862872655</v>
      </c>
      <c r="J3084" t="n">
        <v>0.0028701824512964</v>
      </c>
      <c r="K3084" t="n">
        <v>0.7331998789874371</v>
      </c>
      <c r="L3084" t="b">
        <v>0</v>
      </c>
      <c r="M3084" t="b">
        <v>0</v>
      </c>
      <c r="N3084" t="inlineStr">
        <is>
          <t>alt</t>
        </is>
      </c>
      <c r="O3084" t="n">
        <v>-85</v>
      </c>
      <c r="P3084" t="n">
        <v>0.00206</v>
      </c>
      <c r="Q3084" t="n">
        <v>-45</v>
      </c>
      <c r="R3084" t="n">
        <v>0.007217</v>
      </c>
      <c r="S3084">
        <f>IMAGE("https://mitra.stanford.edu/kundaje/oak/projects/neuro-variants/variant_position/credible/roussos_2024/variant_figures/roussos_2024.childhood.GLU/rs6419160_count_position.png",4,220,900)</f>
        <v/>
      </c>
      <c r="T3084">
        <f>IMAGE("https://mitra.stanford.edu/kundaje/oak/projects/neuro-variants/variant_position/credible/roussos_2024/variant_figures/roussos_2024.childhood.GLU/rs6419160_profile_position.png",4,220,900)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-0.107163093</v>
      </c>
      <c r="G3085" t="n">
        <v>0.0392760821880743</v>
      </c>
      <c r="H3085" t="n">
        <v>0.0398667650884212</v>
      </c>
      <c r="I3085" t="n">
        <v>0.0067324569959477</v>
      </c>
      <c r="J3085" t="n">
        <v>0.063833228594682</v>
      </c>
      <c r="K3085" t="n">
        <v>0.3158797562138448</v>
      </c>
      <c r="L3085" t="b">
        <v>1</v>
      </c>
      <c r="M3085" t="b">
        <v>1</v>
      </c>
      <c r="N3085" t="inlineStr">
        <is>
          <t>ref</t>
        </is>
      </c>
      <c r="O3085" t="n">
        <v>-80</v>
      </c>
      <c r="P3085" t="n">
        <v>0.003967</v>
      </c>
      <c r="Q3085" t="n">
        <v>30</v>
      </c>
      <c r="R3085" t="n">
        <v>0.06469999999999999</v>
      </c>
      <c r="S3085">
        <f>IMAGE("https://mitra.stanford.edu/kundaje/oak/projects/neuro-variants/variant_position/credible/roussos_2024/variant_figures/roussos_2024.childhood.GLU/rs10017565_count_position.png",4,220,900)</f>
        <v/>
      </c>
      <c r="T3085">
        <f>IMAGE("https://mitra.stanford.edu/kundaje/oak/projects/neuro-variants/variant_position/credible/roussos_2024/variant_figures/roussos_2024.childhood.GLU/rs10017565_profile_position.png",4,220,900)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0.0542058562</v>
      </c>
      <c r="G3086" t="n">
        <v>0.1569693022884404</v>
      </c>
      <c r="H3086" t="n">
        <v>0.0269005892329067</v>
      </c>
      <c r="I3086" t="n">
        <v>0.0336154975061748</v>
      </c>
      <c r="J3086" t="n">
        <v>0.0399960851782788</v>
      </c>
      <c r="K3086" t="n">
        <v>0.3843500623237694</v>
      </c>
      <c r="L3086" t="b">
        <v>0</v>
      </c>
      <c r="M3086" t="b">
        <v>0</v>
      </c>
      <c r="N3086" t="inlineStr">
        <is>
          <t>alt</t>
        </is>
      </c>
      <c r="O3086" t="n">
        <v>40</v>
      </c>
      <c r="P3086" t="n">
        <v>0.00868</v>
      </c>
      <c r="Q3086" t="n">
        <v>20</v>
      </c>
      <c r="R3086" t="n">
        <v>0.03064</v>
      </c>
      <c r="S3086">
        <f>IMAGE("https://mitra.stanford.edu/kundaje/oak/projects/neuro-variants/variant_position/credible/roussos_2024/variant_figures/roussos_2024.childhood.GLU/rs11724035_count_position.png",4,220,900)</f>
        <v/>
      </c>
      <c r="T3086">
        <f>IMAGE("https://mitra.stanford.edu/kundaje/oak/projects/neuro-variants/variant_position/credible/roussos_2024/variant_figures/roussos_2024.childhood.GLU/rs11724035_profile_position.png",4,220,900)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-0.199827032</v>
      </c>
      <c r="G3087" t="n">
        <v>0.0076767176844763</v>
      </c>
      <c r="H3087" t="n">
        <v>0.0314602027758724</v>
      </c>
      <c r="I3087" t="n">
        <v>0.0189717262582346</v>
      </c>
      <c r="J3087" t="n">
        <v>0.0713847136513953</v>
      </c>
      <c r="K3087" t="n">
        <v>0.3037926247293401</v>
      </c>
      <c r="L3087" t="b">
        <v>1</v>
      </c>
      <c r="M3087" t="b">
        <v>1</v>
      </c>
      <c r="N3087" t="inlineStr">
        <is>
          <t>ref</t>
        </is>
      </c>
      <c r="O3087" t="n">
        <v>-100</v>
      </c>
      <c r="P3087" t="n">
        <v>0.01741</v>
      </c>
      <c r="Q3087" t="n">
        <v>75</v>
      </c>
      <c r="R3087" t="n">
        <v>0.0803</v>
      </c>
      <c r="S3087">
        <f>IMAGE("https://mitra.stanford.edu/kundaje/oak/projects/neuro-variants/variant_position/credible/roussos_2024/variant_figures/roussos_2024.childhood.GLU/rs6829718_count_position.png",4,220,900)</f>
        <v/>
      </c>
      <c r="T3087">
        <f>IMAGE("https://mitra.stanford.edu/kundaje/oak/projects/neuro-variants/variant_position/credible/roussos_2024/variant_figures/roussos_2024.childhood.GLU/rs6829718_profile_position.png",4,220,900)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0.0469212126</v>
      </c>
      <c r="G3088" t="n">
        <v>0.2079300358158857</v>
      </c>
      <c r="H3088" t="n">
        <v>0.0165415929894149</v>
      </c>
      <c r="I3088" t="n">
        <v>0.1950989017096169</v>
      </c>
      <c r="J3088" t="n">
        <v>0.0805052180452676</v>
      </c>
      <c r="K3088" t="n">
        <v>0.275511047274057</v>
      </c>
      <c r="L3088" t="b">
        <v>0</v>
      </c>
      <c r="M3088" t="b">
        <v>0</v>
      </c>
      <c r="N3088" t="inlineStr">
        <is>
          <t>alt</t>
        </is>
      </c>
      <c r="O3088" t="n">
        <v>-95</v>
      </c>
      <c r="P3088" t="n">
        <v>0.002914</v>
      </c>
      <c r="Q3088" t="n">
        <v>70</v>
      </c>
      <c r="R3088" t="n">
        <v>0.148</v>
      </c>
      <c r="S3088">
        <f>IMAGE("https://mitra.stanford.edu/kundaje/oak/projects/neuro-variants/variant_position/credible/roussos_2024/variant_figures/roussos_2024.childhood.GLU/rs4235409_count_position.png",4,220,900)</f>
        <v/>
      </c>
      <c r="T3088">
        <f>IMAGE("https://mitra.stanford.edu/kundaje/oak/projects/neuro-variants/variant_position/credible/roussos_2024/variant_figures/roussos_2024.childhood.GLU/rs4235409_profile_position.png",4,220,900)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-0.09502149880000001</v>
      </c>
      <c r="G3089" t="n">
        <v>0.0526932162627176</v>
      </c>
      <c r="H3089" t="n">
        <v>0.0134916228172531</v>
      </c>
      <c r="I3089" t="n">
        <v>0.3344117562390893</v>
      </c>
      <c r="J3089" t="n">
        <v>0.010517477618552</v>
      </c>
      <c r="K3089" t="n">
        <v>0.5894379606372077</v>
      </c>
      <c r="L3089" t="b">
        <v>0</v>
      </c>
      <c r="M3089" t="b">
        <v>0</v>
      </c>
      <c r="N3089" t="inlineStr">
        <is>
          <t>ref</t>
        </is>
      </c>
      <c r="O3089" t="n">
        <v>-5</v>
      </c>
      <c r="P3089" t="n">
        <v>0.003967</v>
      </c>
      <c r="Q3089" t="n">
        <v>-10</v>
      </c>
      <c r="R3089" t="n">
        <v>0.0188</v>
      </c>
      <c r="S3089">
        <f>IMAGE("https://mitra.stanford.edu/kundaje/oak/projects/neuro-variants/variant_position/credible/roussos_2024/variant_figures/roussos_2024.childhood.GLU/rs3857198_count_position.png",4,220,900)</f>
        <v/>
      </c>
      <c r="T3089">
        <f>IMAGE("https://mitra.stanford.edu/kundaje/oak/projects/neuro-variants/variant_position/credible/roussos_2024/variant_figures/roussos_2024.childhood.GLU/rs3857198_profile_position.png",4,220,900)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-0.0258219022</v>
      </c>
      <c r="G3090" t="n">
        <v>0.38866845370824</v>
      </c>
      <c r="H3090" t="n">
        <v>0.0230024509370538</v>
      </c>
      <c r="I3090" t="n">
        <v>0.0591721405721163</v>
      </c>
      <c r="J3090" t="n">
        <v>0.2024890024416124</v>
      </c>
      <c r="K3090" t="n">
        <v>0.1475742152688769</v>
      </c>
      <c r="L3090" t="b">
        <v>0</v>
      </c>
      <c r="M3090" t="b">
        <v>0</v>
      </c>
      <c r="N3090" t="inlineStr">
        <is>
          <t>ref</t>
        </is>
      </c>
      <c r="O3090" t="n">
        <v>90</v>
      </c>
      <c r="P3090" t="n">
        <v>0.01163</v>
      </c>
      <c r="Q3090" t="n">
        <v>-100</v>
      </c>
      <c r="R3090" t="n">
        <v>0.0578</v>
      </c>
      <c r="S3090">
        <f>IMAGE("https://mitra.stanford.edu/kundaje/oak/projects/neuro-variants/variant_position/credible/roussos_2024/variant_figures/roussos_2024.childhood.GLU/rs4698867_count_position.png",4,220,900)</f>
        <v/>
      </c>
      <c r="T3090">
        <f>IMAGE("https://mitra.stanford.edu/kundaje/oak/projects/neuro-variants/variant_position/credible/roussos_2024/variant_figures/roussos_2024.childhood.GLU/rs4698867_profile_position.png",4,220,900)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0.1204867031999999</v>
      </c>
      <c r="G3091" t="n">
        <v>0.0288922245504167</v>
      </c>
      <c r="H3091" t="n">
        <v>0.017935300204956</v>
      </c>
      <c r="I3091" t="n">
        <v>0.1452650136938938</v>
      </c>
      <c r="J3091" t="n">
        <v>0.0038550691790206</v>
      </c>
      <c r="K3091" t="n">
        <v>0.7057906325369402</v>
      </c>
      <c r="L3091" t="b">
        <v>0</v>
      </c>
      <c r="M3091" t="b">
        <v>0</v>
      </c>
      <c r="N3091" t="inlineStr">
        <is>
          <t>alt</t>
        </is>
      </c>
      <c r="O3091" t="n">
        <v>65</v>
      </c>
      <c r="P3091" t="n">
        <v>0.003906</v>
      </c>
      <c r="Q3091" t="n">
        <v>-20</v>
      </c>
      <c r="R3091" t="n">
        <v>0.0674</v>
      </c>
      <c r="S3091">
        <f>IMAGE("https://mitra.stanford.edu/kundaje/oak/projects/neuro-variants/variant_position/credible/roussos_2024/variant_figures/roussos_2024.childhood.GLU/rs7659468_count_position.png",4,220,900)</f>
        <v/>
      </c>
      <c r="T3091">
        <f>IMAGE("https://mitra.stanford.edu/kundaje/oak/projects/neuro-variants/variant_position/credible/roussos_2024/variant_figures/roussos_2024.childhood.GLU/rs7659468_profile_position.png",4,220,900)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0.1013517832</v>
      </c>
      <c r="G3092" t="n">
        <v>0.0438362713537327</v>
      </c>
      <c r="H3092" t="n">
        <v>0.0205449518162226</v>
      </c>
      <c r="I3092" t="n">
        <v>0.0902397272169262</v>
      </c>
      <c r="J3092" t="n">
        <v>0.0001493813551464</v>
      </c>
      <c r="K3092" t="n">
        <v>0.9239626232039048</v>
      </c>
      <c r="L3092" t="b">
        <v>0</v>
      </c>
      <c r="M3092" t="b">
        <v>0</v>
      </c>
      <c r="N3092" t="inlineStr">
        <is>
          <t>alt</t>
        </is>
      </c>
      <c r="O3092" t="n">
        <v>100</v>
      </c>
      <c r="P3092" t="n">
        <v>0.02365</v>
      </c>
      <c r="Q3092" t="n">
        <v>100</v>
      </c>
      <c r="R3092" t="n">
        <v>0.06046</v>
      </c>
      <c r="S3092">
        <f>IMAGE("https://mitra.stanford.edu/kundaje/oak/projects/neuro-variants/variant_position/credible/roussos_2024/variant_figures/roussos_2024.childhood.GLU/rs4699044_count_position.png",4,220,900)</f>
        <v/>
      </c>
      <c r="T3092">
        <f>IMAGE("https://mitra.stanford.edu/kundaje/oak/projects/neuro-variants/variant_position/credible/roussos_2024/variant_figures/roussos_2024.childhood.GLU/rs4699044_profile_position.png",4,220,900)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-0.0184955204</v>
      </c>
      <c r="G3093" t="n">
        <v>0.4869915620840371</v>
      </c>
      <c r="H3093" t="n">
        <v>0.0084066577606843</v>
      </c>
      <c r="I3093" t="n">
        <v>0.8164704039594189</v>
      </c>
      <c r="J3093" t="n">
        <v>5.151081211946388e-06</v>
      </c>
      <c r="K3093" t="n">
        <v>1</v>
      </c>
      <c r="L3093" t="b">
        <v>0</v>
      </c>
      <c r="M3093" t="b">
        <v>0</v>
      </c>
      <c r="N3093" t="inlineStr">
        <is>
          <t>ref</t>
        </is>
      </c>
      <c r="O3093" t="n">
        <v>-85</v>
      </c>
      <c r="P3093" t="n">
        <v>0.001595</v>
      </c>
      <c r="Q3093" t="n">
        <v>-55</v>
      </c>
      <c r="R3093" t="n">
        <v>0.1454</v>
      </c>
      <c r="S3093">
        <f>IMAGE("https://mitra.stanford.edu/kundaje/oak/projects/neuro-variants/variant_position/credible/roussos_2024/variant_figures/roussos_2024.childhood.GLU/rs12508069_count_position.png",4,220,900)</f>
        <v/>
      </c>
      <c r="T3093">
        <f>IMAGE("https://mitra.stanford.edu/kundaje/oak/projects/neuro-variants/variant_position/credible/roussos_2024/variant_figures/roussos_2024.childhood.GLU/rs12508069_profile_position.png",4,220,900)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-0.0047485057999999</v>
      </c>
      <c r="G3094" t="n">
        <v>0.3951746245384429</v>
      </c>
      <c r="H3094" t="n">
        <v>0.0262746415077685</v>
      </c>
      <c r="I3094" t="n">
        <v>0.0353390689155089</v>
      </c>
      <c r="J3094" t="n">
        <v>0.07198842036943549</v>
      </c>
      <c r="K3094" t="n">
        <v>0.2939387985191918</v>
      </c>
      <c r="L3094" t="b">
        <v>0</v>
      </c>
      <c r="M3094" t="b">
        <v>0</v>
      </c>
      <c r="N3094" t="inlineStr">
        <is>
          <t>ref</t>
        </is>
      </c>
      <c r="O3094" t="n">
        <v>-25</v>
      </c>
      <c r="P3094" t="n">
        <v>0.005066</v>
      </c>
      <c r="Q3094" t="n">
        <v>-25</v>
      </c>
      <c r="R3094" t="n">
        <v>0.05847</v>
      </c>
      <c r="S3094">
        <f>IMAGE("https://mitra.stanford.edu/kundaje/oak/projects/neuro-variants/variant_position/credible/roussos_2024/variant_figures/roussos_2024.childhood.GLU/rs7688940_count_position.png",4,220,900)</f>
        <v/>
      </c>
      <c r="T3094">
        <f>IMAGE("https://mitra.stanford.edu/kundaje/oak/projects/neuro-variants/variant_position/credible/roussos_2024/variant_figures/roussos_2024.childhood.GLU/rs7688940_profile_position.png",4,220,900)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0.2602159619999999</v>
      </c>
      <c r="G3095" t="n">
        <v>0.0034128062569873</v>
      </c>
      <c r="H3095" t="n">
        <v>0.0374675509821369</v>
      </c>
      <c r="I3095" t="n">
        <v>0.0089855595061383</v>
      </c>
      <c r="J3095" t="n">
        <v>0.021492371248725</v>
      </c>
      <c r="K3095" t="n">
        <v>0.4886546853456849</v>
      </c>
      <c r="L3095" t="b">
        <v>1</v>
      </c>
      <c r="M3095" t="b">
        <v>1</v>
      </c>
      <c r="N3095" t="inlineStr">
        <is>
          <t>alt</t>
        </is>
      </c>
      <c r="O3095" t="n">
        <v>-100</v>
      </c>
      <c r="P3095" t="n">
        <v>0.00847</v>
      </c>
      <c r="Q3095" t="n">
        <v>-75</v>
      </c>
      <c r="R3095" t="n">
        <v>0.09279999999999999</v>
      </c>
      <c r="S3095">
        <f>IMAGE("https://mitra.stanford.edu/kundaje/oak/projects/neuro-variants/variant_position/credible/roussos_2024/variant_figures/roussos_2024.childhood.GLU/rs13117110_count_position.png",4,220,900)</f>
        <v/>
      </c>
      <c r="T3095">
        <f>IMAGE("https://mitra.stanford.edu/kundaje/oak/projects/neuro-variants/variant_position/credible/roussos_2024/variant_figures/roussos_2024.childhood.GLU/rs13117110_profile_position.png",4,220,900)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-0.0152385856</v>
      </c>
      <c r="G3096" t="n">
        <v>0.5638089357714194</v>
      </c>
      <c r="H3096" t="n">
        <v>0.0121757604990592</v>
      </c>
      <c r="I3096" t="n">
        <v>0.4403583880619969</v>
      </c>
      <c r="J3096" t="n">
        <v>0.0213615337859416</v>
      </c>
      <c r="K3096" t="n">
        <v>0.483872956094038</v>
      </c>
      <c r="L3096" t="b">
        <v>0</v>
      </c>
      <c r="M3096" t="b">
        <v>0</v>
      </c>
      <c r="N3096" t="inlineStr">
        <is>
          <t>ref</t>
        </is>
      </c>
      <c r="O3096" t="n">
        <v>55</v>
      </c>
      <c r="P3096" t="n">
        <v>0.002357</v>
      </c>
      <c r="Q3096" t="n">
        <v>75</v>
      </c>
      <c r="R3096" t="n">
        <v>0.04437</v>
      </c>
      <c r="S3096">
        <f>IMAGE("https://mitra.stanford.edu/kundaje/oak/projects/neuro-variants/variant_position/credible/roussos_2024/variant_figures/roussos_2024.childhood.GLU/rs7695096_count_position.png",4,220,900)</f>
        <v/>
      </c>
      <c r="T3096">
        <f>IMAGE("https://mitra.stanford.edu/kundaje/oak/projects/neuro-variants/variant_position/credible/roussos_2024/variant_figures/roussos_2024.childhood.GLU/rs7695096_profile_position.png",4,220,900)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-0.0212746515999999</v>
      </c>
      <c r="G3097" t="n">
        <v>0.4700768897471002</v>
      </c>
      <c r="H3097" t="n">
        <v>0.0209511152942506</v>
      </c>
      <c r="I3097" t="n">
        <v>0.0890637227937347</v>
      </c>
      <c r="J3097" t="n">
        <v>0.0311207722500952</v>
      </c>
      <c r="K3097" t="n">
        <v>0.4235221028053241</v>
      </c>
      <c r="L3097" t="b">
        <v>0</v>
      </c>
      <c r="M3097" t="b">
        <v>0</v>
      </c>
      <c r="N3097" t="inlineStr">
        <is>
          <t>ref</t>
        </is>
      </c>
      <c r="O3097" t="n">
        <v>45</v>
      </c>
      <c r="P3097" t="n">
        <v>0.002716</v>
      </c>
      <c r="Q3097" t="n">
        <v>20</v>
      </c>
      <c r="R3097" t="n">
        <v>0.01196</v>
      </c>
      <c r="S3097">
        <f>IMAGE("https://mitra.stanford.edu/kundaje/oak/projects/neuro-variants/variant_position/credible/roussos_2024/variant_figures/roussos_2024.childhood.GLU/rs2905625_count_position.png",4,220,900)</f>
        <v/>
      </c>
      <c r="T3097">
        <f>IMAGE("https://mitra.stanford.edu/kundaje/oak/projects/neuro-variants/variant_position/credible/roussos_2024/variant_figures/roussos_2024.childhood.GLU/rs2905625_profile_position.png",4,220,900)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-0.09004540599999999</v>
      </c>
      <c r="G3098" t="n">
        <v>0.0613442159356696</v>
      </c>
      <c r="H3098" t="n">
        <v>0.0159330941472092</v>
      </c>
      <c r="I3098" t="n">
        <v>0.213166660203219</v>
      </c>
      <c r="J3098" t="n">
        <v>0.0023427117351931</v>
      </c>
      <c r="K3098" t="n">
        <v>0.7548916968759407</v>
      </c>
      <c r="L3098" t="b">
        <v>0</v>
      </c>
      <c r="M3098" t="b">
        <v>0</v>
      </c>
      <c r="N3098" t="inlineStr">
        <is>
          <t>ref</t>
        </is>
      </c>
      <c r="O3098" t="n">
        <v>0</v>
      </c>
      <c r="P3098" t="n">
        <v>0</v>
      </c>
      <c r="Q3098" t="n">
        <v>5</v>
      </c>
      <c r="R3098" t="n">
        <v>0.0006713999999999999</v>
      </c>
      <c r="S3098">
        <f>IMAGE("https://mitra.stanford.edu/kundaje/oak/projects/neuro-variants/variant_position/credible/roussos_2024/variant_figures/roussos_2024.childhood.GLU/rs1875310_count_position.png",4,220,900)</f>
        <v/>
      </c>
      <c r="T3098">
        <f>IMAGE("https://mitra.stanford.edu/kundaje/oak/projects/neuro-variants/variant_position/credible/roussos_2024/variant_figures/roussos_2024.childhood.GLU/rs1875310_profile_position.png",4,220,900)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-0.121724768</v>
      </c>
      <c r="G3099" t="n">
        <v>0.0357012822281542</v>
      </c>
      <c r="H3099" t="n">
        <v>0.018393597432496</v>
      </c>
      <c r="I3099" t="n">
        <v>0.1372580482101265</v>
      </c>
      <c r="J3099" t="n">
        <v>0.1128375245964127</v>
      </c>
      <c r="K3099" t="n">
        <v>0.2418149545132527</v>
      </c>
      <c r="L3099" t="b">
        <v>0</v>
      </c>
      <c r="M3099" t="b">
        <v>0</v>
      </c>
      <c r="N3099" t="inlineStr">
        <is>
          <t>ref</t>
        </is>
      </c>
      <c r="O3099" t="n">
        <v>-95</v>
      </c>
      <c r="P3099" t="n">
        <v>0.00797</v>
      </c>
      <c r="Q3099" t="n">
        <v>40</v>
      </c>
      <c r="R3099" t="n">
        <v>0.3062</v>
      </c>
      <c r="S3099">
        <f>IMAGE("https://mitra.stanford.edu/kundaje/oak/projects/neuro-variants/variant_position/credible/roussos_2024/variant_figures/roussos_2024.childhood.GLU/rs72662364_count_position.png",4,220,900)</f>
        <v/>
      </c>
      <c r="T3099">
        <f>IMAGE("https://mitra.stanford.edu/kundaje/oak/projects/neuro-variants/variant_position/credible/roussos_2024/variant_figures/roussos_2024.childhood.GLU/rs72662364_profile_position.png",4,220,900)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0.125684724</v>
      </c>
      <c r="G3100" t="n">
        <v>0.0265923905362873</v>
      </c>
      <c r="H3100" t="n">
        <v>0.0183904409721025</v>
      </c>
      <c r="I3100" t="n">
        <v>0.1347012008281012</v>
      </c>
      <c r="J3100" t="n">
        <v>0.0513346451420152</v>
      </c>
      <c r="K3100" t="n">
        <v>0.3460565272058972</v>
      </c>
      <c r="L3100" t="b">
        <v>0</v>
      </c>
      <c r="M3100" t="b">
        <v>0</v>
      </c>
      <c r="N3100" t="inlineStr">
        <is>
          <t>alt</t>
        </is>
      </c>
      <c r="O3100" t="n">
        <v>5</v>
      </c>
      <c r="P3100" t="n">
        <v>6.104e-05</v>
      </c>
      <c r="Q3100" t="n">
        <v>15</v>
      </c>
      <c r="R3100" t="n">
        <v>0.001465</v>
      </c>
      <c r="S3100">
        <f>IMAGE("https://mitra.stanford.edu/kundaje/oak/projects/neuro-variants/variant_position/credible/roussos_2024/variant_figures/roussos_2024.childhood.GLU/rs17034785_count_position.png",4,220,900)</f>
        <v/>
      </c>
      <c r="T3100">
        <f>IMAGE("https://mitra.stanford.edu/kundaje/oak/projects/neuro-variants/variant_position/credible/roussos_2024/variant_figures/roussos_2024.childhood.GLU/rs17034785_profile_position.png",4,220,900)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0.02752337906</v>
      </c>
      <c r="G3101" t="n">
        <v>0.3343279281447321</v>
      </c>
      <c r="H3101" t="n">
        <v>0.0198795694353307</v>
      </c>
      <c r="I3101" t="n">
        <v>0.1062481963971563</v>
      </c>
      <c r="J3101" t="n">
        <v>0.0014917531189796</v>
      </c>
      <c r="K3101" t="n">
        <v>0.8169836940084296</v>
      </c>
      <c r="L3101" t="b">
        <v>0</v>
      </c>
      <c r="M3101" t="b">
        <v>0</v>
      </c>
      <c r="N3101" t="inlineStr">
        <is>
          <t>alt</t>
        </is>
      </c>
      <c r="O3101" t="n">
        <v>-40</v>
      </c>
      <c r="P3101" t="n">
        <v>0.01156</v>
      </c>
      <c r="Q3101" t="n">
        <v>100</v>
      </c>
      <c r="R3101" t="n">
        <v>0.08984</v>
      </c>
      <c r="S3101">
        <f>IMAGE("https://mitra.stanford.edu/kundaje/oak/projects/neuro-variants/variant_position/credible/roussos_2024/variant_figures/roussos_2024.childhood.GLU/rs6856296_count_position.png",4,220,900)</f>
        <v/>
      </c>
      <c r="T3101">
        <f>IMAGE("https://mitra.stanford.edu/kundaje/oak/projects/neuro-variants/variant_position/credible/roussos_2024/variant_figures/roussos_2024.childhood.GLU/rs6856296_profile_position.png",4,220,900)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-0.00626660328</v>
      </c>
      <c r="G3102" t="n">
        <v>0.7030065946434111</v>
      </c>
      <c r="H3102" t="n">
        <v>0.0213170330797442</v>
      </c>
      <c r="I3102" t="n">
        <v>0.0787127993504312</v>
      </c>
      <c r="J3102" t="n">
        <v>0.0088650107657597</v>
      </c>
      <c r="K3102" t="n">
        <v>0.60674818328715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0.0481</v>
      </c>
      <c r="Q3102" t="n">
        <v>80</v>
      </c>
      <c r="R3102" t="n">
        <v>0.1941</v>
      </c>
      <c r="S3102">
        <f>IMAGE("https://mitra.stanford.edu/kundaje/oak/projects/neuro-variants/variant_position/credible/roussos_2024/variant_figures/roussos_2024.childhood.GLU/rs6855141_count_position.png",4,220,900)</f>
        <v/>
      </c>
      <c r="T3102">
        <f>IMAGE("https://mitra.stanford.edu/kundaje/oak/projects/neuro-variants/variant_position/credible/roussos_2024/variant_figures/roussos_2024.childhood.GLU/rs6855141_profile_position.png",4,220,900)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0.0014415788999999</v>
      </c>
      <c r="G3103" t="n">
        <v>0.846087722631307</v>
      </c>
      <c r="H3103" t="n">
        <v>0.0235136873330619</v>
      </c>
      <c r="I3103" t="n">
        <v>0.0542238727699204</v>
      </c>
      <c r="J3103" t="n">
        <v>0.0007541182894288</v>
      </c>
      <c r="K3103" t="n">
        <v>0.844473067459203</v>
      </c>
      <c r="L3103" t="b">
        <v>0</v>
      </c>
      <c r="M3103" t="b">
        <v>0</v>
      </c>
      <c r="N3103" t="inlineStr">
        <is>
          <t>alt</t>
        </is>
      </c>
      <c r="O3103" t="n">
        <v>-95</v>
      </c>
      <c r="P3103" t="n">
        <v>0.0012665</v>
      </c>
      <c r="Q3103" t="n">
        <v>-70</v>
      </c>
      <c r="R3103" t="n">
        <v>0.06610000000000001</v>
      </c>
      <c r="S3103">
        <f>IMAGE("https://mitra.stanford.edu/kundaje/oak/projects/neuro-variants/variant_position/credible/roussos_2024/variant_figures/roussos_2024.childhood.GLU/rs7655540_count_position.png",4,220,900)</f>
        <v/>
      </c>
      <c r="T3103">
        <f>IMAGE("https://mitra.stanford.edu/kundaje/oak/projects/neuro-variants/variant_position/credible/roussos_2024/variant_figures/roussos_2024.childhood.GLU/rs7655540_profile_position.png",4,220,900)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0.0206089952</v>
      </c>
      <c r="G3104" t="n">
        <v>0.4509460027078534</v>
      </c>
      <c r="H3104" t="n">
        <v>0.007883674840778499</v>
      </c>
      <c r="I3104" t="n">
        <v>0.8913772911749913</v>
      </c>
      <c r="J3104" t="n">
        <v>6.696405575528821e-05</v>
      </c>
      <c r="K3104" t="n">
        <v>0.9557810595534632</v>
      </c>
      <c r="L3104" t="b">
        <v>0</v>
      </c>
      <c r="M3104" t="b">
        <v>0</v>
      </c>
      <c r="N3104" t="inlineStr">
        <is>
          <t>alt</t>
        </is>
      </c>
      <c r="O3104" t="n">
        <v>-100</v>
      </c>
      <c r="P3104" t="n">
        <v>0.01323</v>
      </c>
      <c r="Q3104" t="n">
        <v>-45</v>
      </c>
      <c r="R3104" t="n">
        <v>0.08215</v>
      </c>
      <c r="S3104">
        <f>IMAGE("https://mitra.stanford.edu/kundaje/oak/projects/neuro-variants/variant_position/credible/roussos_2024/variant_figures/roussos_2024.childhood.GLU/rs9990663_count_position.png",4,220,900)</f>
        <v/>
      </c>
      <c r="T3104">
        <f>IMAGE("https://mitra.stanford.edu/kundaje/oak/projects/neuro-variants/variant_position/credible/roussos_2024/variant_figures/roussos_2024.childhood.GLU/rs9990663_profile_position.png",4,220,900)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-0.115457167</v>
      </c>
      <c r="G3105" t="n">
        <v>0.0359248338145969</v>
      </c>
      <c r="H3105" t="n">
        <v>0.0234868145080277</v>
      </c>
      <c r="I3105" t="n">
        <v>0.0595193834416611</v>
      </c>
      <c r="J3105" t="n">
        <v>0.0146785210215623</v>
      </c>
      <c r="K3105" t="n">
        <v>0.5447940967401609</v>
      </c>
      <c r="L3105" t="b">
        <v>0</v>
      </c>
      <c r="M3105" t="b">
        <v>0</v>
      </c>
      <c r="N3105" t="inlineStr">
        <is>
          <t>ref</t>
        </is>
      </c>
      <c r="O3105" t="n">
        <v>-60</v>
      </c>
      <c r="P3105" t="n">
        <v>0.001862</v>
      </c>
      <c r="Q3105" t="n">
        <v>-30</v>
      </c>
      <c r="R3105" t="n">
        <v>0.0537</v>
      </c>
      <c r="S3105">
        <f>IMAGE("https://mitra.stanford.edu/kundaje/oak/projects/neuro-variants/variant_position/credible/roussos_2024/variant_figures/roussos_2024.childhood.GLU/rs2012723_count_position.png",4,220,900)</f>
        <v/>
      </c>
      <c r="T3105">
        <f>IMAGE("https://mitra.stanford.edu/kundaje/oak/projects/neuro-variants/variant_position/credible/roussos_2024/variant_figures/roussos_2024.childhood.GLU/rs2012723_profile_position.png",4,220,900)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-0.183900146</v>
      </c>
      <c r="G3106" t="n">
        <v>0.0104013746153847</v>
      </c>
      <c r="H3106" t="n">
        <v>0.0371716492649081</v>
      </c>
      <c r="I3106" t="n">
        <v>0.009773572575194799</v>
      </c>
      <c r="J3106" t="n">
        <v>0.0299720811398312</v>
      </c>
      <c r="K3106" t="n">
        <v>0.4289012622782837</v>
      </c>
      <c r="L3106" t="b">
        <v>1</v>
      </c>
      <c r="M3106" t="b">
        <v>0</v>
      </c>
      <c r="N3106" t="inlineStr">
        <is>
          <t>ref</t>
        </is>
      </c>
      <c r="O3106" t="n">
        <v>100</v>
      </c>
      <c r="P3106" t="n">
        <v>0.008385</v>
      </c>
      <c r="Q3106" t="n">
        <v>20</v>
      </c>
      <c r="R3106" t="n">
        <v>0.1236</v>
      </c>
      <c r="S3106">
        <f>IMAGE("https://mitra.stanford.edu/kundaje/oak/projects/neuro-variants/variant_position/credible/roussos_2024/variant_figures/roussos_2024.childhood.GLU/rs4600992_count_position.png",4,220,900)</f>
        <v/>
      </c>
      <c r="T3106">
        <f>IMAGE("https://mitra.stanford.edu/kundaje/oak/projects/neuro-variants/variant_position/credible/roussos_2024/variant_figures/roussos_2024.childhood.GLU/rs4600992_profile_position.png",4,220,900)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-0.0035129904432</v>
      </c>
      <c r="G3107" t="n">
        <v>0.8404997026431177</v>
      </c>
      <c r="H3107" t="n">
        <v>0.0101775766060258</v>
      </c>
      <c r="I3107" t="n">
        <v>0.6453231026818993</v>
      </c>
      <c r="J3107" t="n">
        <v>0.0056764914955648</v>
      </c>
      <c r="K3107" t="n">
        <v>0.6592409886644127</v>
      </c>
      <c r="L3107" t="b">
        <v>0</v>
      </c>
      <c r="M3107" t="b">
        <v>0</v>
      </c>
      <c r="N3107" t="inlineStr">
        <is>
          <t>ref</t>
        </is>
      </c>
      <c r="O3107" t="n">
        <v>100</v>
      </c>
      <c r="P3107" t="n">
        <v>0.002144</v>
      </c>
      <c r="Q3107" t="n">
        <v>-100</v>
      </c>
      <c r="R3107" t="n">
        <v>0.12085</v>
      </c>
      <c r="S3107">
        <f>IMAGE("https://mitra.stanford.edu/kundaje/oak/projects/neuro-variants/variant_position/credible/roussos_2024/variant_figures/roussos_2024.childhood.GLU/rs2169057_count_position.png",4,220,900)</f>
        <v/>
      </c>
      <c r="T3107">
        <f>IMAGE("https://mitra.stanford.edu/kundaje/oak/projects/neuro-variants/variant_position/credible/roussos_2024/variant_figures/roussos_2024.childhood.GLU/rs2169057_profile_position.png",4,220,900)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0.0081001444</v>
      </c>
      <c r="G3108" t="n">
        <v>0.5859641235754953</v>
      </c>
      <c r="H3108" t="n">
        <v>0.0117950681966091</v>
      </c>
      <c r="I3108" t="n">
        <v>0.4641380924031853</v>
      </c>
      <c r="J3108" t="n">
        <v>0.0033121452192814</v>
      </c>
      <c r="K3108" t="n">
        <v>0.7262573169769674</v>
      </c>
      <c r="L3108" t="b">
        <v>0</v>
      </c>
      <c r="M3108" t="b">
        <v>0</v>
      </c>
      <c r="N3108" t="inlineStr">
        <is>
          <t>alt</t>
        </is>
      </c>
      <c r="O3108" t="n">
        <v>-95</v>
      </c>
      <c r="P3108" t="n">
        <v>0.004658</v>
      </c>
      <c r="Q3108" t="n">
        <v>-75</v>
      </c>
      <c r="R3108" t="n">
        <v>0.06519999999999999</v>
      </c>
      <c r="S3108">
        <f>IMAGE("https://mitra.stanford.edu/kundaje/oak/projects/neuro-variants/variant_position/credible/roussos_2024/variant_figures/roussos_2024.childhood.GLU/rs1540575_count_position.png",4,220,900)</f>
        <v/>
      </c>
      <c r="T3108">
        <f>IMAGE("https://mitra.stanford.edu/kundaje/oak/projects/neuro-variants/variant_position/credible/roussos_2024/variant_figures/roussos_2024.childhood.GLU/rs1540575_profile_position.png",4,220,900)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0.0473746496</v>
      </c>
      <c r="G3109" t="n">
        <v>0.1928383956995846</v>
      </c>
      <c r="H3109" t="n">
        <v>0.0275138161560852</v>
      </c>
      <c r="I3109" t="n">
        <v>0.0301582737100254</v>
      </c>
      <c r="J3109" t="n">
        <v>0.0104484531303119</v>
      </c>
      <c r="K3109" t="n">
        <v>0.5947350368459502</v>
      </c>
      <c r="L3109" t="b">
        <v>0</v>
      </c>
      <c r="M3109" t="b">
        <v>0</v>
      </c>
      <c r="N3109" t="inlineStr">
        <is>
          <t>alt</t>
        </is>
      </c>
      <c r="O3109" t="n">
        <v>-85</v>
      </c>
      <c r="P3109" t="n">
        <v>0.032</v>
      </c>
      <c r="Q3109" t="n">
        <v>25</v>
      </c>
      <c r="R3109" t="n">
        <v>0.06396</v>
      </c>
      <c r="S3109">
        <f>IMAGE("https://mitra.stanford.edu/kundaje/oak/projects/neuro-variants/variant_position/credible/roussos_2024/variant_figures/roussos_2024.childhood.GLU/rs6857739_count_position.png",4,220,900)</f>
        <v/>
      </c>
      <c r="T3109">
        <f>IMAGE("https://mitra.stanford.edu/kundaje/oak/projects/neuro-variants/variant_position/credible/roussos_2024/variant_figures/roussos_2024.childhood.GLU/rs6857739_profile_position.png",4,220,900)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-0.0588673934</v>
      </c>
      <c r="G3110" t="n">
        <v>0.143767568904084</v>
      </c>
      <c r="H3110" t="n">
        <v>0.0184478394619746</v>
      </c>
      <c r="I3110" t="n">
        <v>0.1303497801435314</v>
      </c>
      <c r="J3110" t="n">
        <v>0.0059278642587078</v>
      </c>
      <c r="K3110" t="n">
        <v>0.6592496284513182</v>
      </c>
      <c r="L3110" t="b">
        <v>0</v>
      </c>
      <c r="M3110" t="b">
        <v>0</v>
      </c>
      <c r="N3110" t="inlineStr">
        <is>
          <t>ref</t>
        </is>
      </c>
      <c r="O3110" t="n">
        <v>80</v>
      </c>
      <c r="P3110" t="n">
        <v>0.011185</v>
      </c>
      <c r="Q3110" t="n">
        <v>-80</v>
      </c>
      <c r="R3110" t="n">
        <v>0.2268</v>
      </c>
      <c r="S3110">
        <f>IMAGE("https://mitra.stanford.edu/kundaje/oak/projects/neuro-variants/variant_position/credible/roussos_2024/variant_figures/roussos_2024.childhood.GLU/rs1350618_count_position.png",4,220,900)</f>
        <v/>
      </c>
      <c r="T3110">
        <f>IMAGE("https://mitra.stanford.edu/kundaje/oak/projects/neuro-variants/variant_position/credible/roussos_2024/variant_figures/roussos_2024.childhood.GLU/rs1350618_profile_position.png",4,220,900)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0.2178146899999999</v>
      </c>
      <c r="G3111" t="n">
        <v>0.0057142628172444</v>
      </c>
      <c r="H3111" t="n">
        <v>0.0791585539595073</v>
      </c>
      <c r="I3111" t="n">
        <v>0.0005295431963797</v>
      </c>
      <c r="J3111" t="n">
        <v>0.1570286503137008</v>
      </c>
      <c r="K3111" t="n">
        <v>0.1807545377983373</v>
      </c>
      <c r="L3111" t="b">
        <v>1</v>
      </c>
      <c r="M3111" t="b">
        <v>1</v>
      </c>
      <c r="N3111" t="inlineStr">
        <is>
          <t>alt</t>
        </is>
      </c>
      <c r="O3111" t="n">
        <v>-65</v>
      </c>
      <c r="P3111" t="n">
        <v>0.009155</v>
      </c>
      <c r="Q3111" t="n">
        <v>-85</v>
      </c>
      <c r="R3111" t="n">
        <v>0.156</v>
      </c>
      <c r="S3111">
        <f>IMAGE("https://mitra.stanford.edu/kundaje/oak/projects/neuro-variants/variant_position/credible/roussos_2024/variant_figures/roussos_2024.childhood.GLU/rs1459538_count_position.png",4,220,900)</f>
        <v/>
      </c>
      <c r="T3111">
        <f>IMAGE("https://mitra.stanford.edu/kundaje/oak/projects/neuro-variants/variant_position/credible/roussos_2024/variant_figures/roussos_2024.childhood.GLU/rs1459538_profile_position.png",4,220,900)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0.02796487344</v>
      </c>
      <c r="G3112" t="n">
        <v>0.3751519261939338</v>
      </c>
      <c r="H3112" t="n">
        <v>0.0130224506346655</v>
      </c>
      <c r="I3112" t="n">
        <v>0.3711290853329105</v>
      </c>
      <c r="J3112" t="n">
        <v>0.2404246551351128</v>
      </c>
      <c r="K3112" t="n">
        <v>0.1237718009673012</v>
      </c>
      <c r="L3112" t="b">
        <v>0</v>
      </c>
      <c r="M3112" t="b">
        <v>0</v>
      </c>
      <c r="N3112" t="inlineStr">
        <is>
          <t>alt</t>
        </is>
      </c>
      <c r="O3112" t="n">
        <v>35</v>
      </c>
      <c r="P3112" t="n">
        <v>0.00328</v>
      </c>
      <c r="Q3112" t="n">
        <v>40</v>
      </c>
      <c r="R3112" t="n">
        <v>0.09656000000000001</v>
      </c>
      <c r="S3112">
        <f>IMAGE("https://mitra.stanford.edu/kundaje/oak/projects/neuro-variants/variant_position/credible/roussos_2024/variant_figures/roussos_2024.childhood.GLU/rs10011404_count_position.png",4,220,900)</f>
        <v/>
      </c>
      <c r="T3112">
        <f>IMAGE("https://mitra.stanford.edu/kundaje/oak/projects/neuro-variants/variant_position/credible/roussos_2024/variant_figures/roussos_2024.childhood.GLU/rs10011404_profile_position.png",4,220,900)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0.1255432299999999</v>
      </c>
      <c r="G3113" t="n">
        <v>0.0259893212734478</v>
      </c>
      <c r="H3113" t="n">
        <v>0.0144372943772948</v>
      </c>
      <c r="I3113" t="n">
        <v>0.2764407071563574</v>
      </c>
      <c r="J3113" t="n">
        <v>0.3341691821113252</v>
      </c>
      <c r="K3113" t="n">
        <v>0.084247085555143</v>
      </c>
      <c r="L3113" t="b">
        <v>0</v>
      </c>
      <c r="M3113" t="b">
        <v>0</v>
      </c>
      <c r="N3113" t="inlineStr">
        <is>
          <t>alt</t>
        </is>
      </c>
      <c r="O3113" t="n">
        <v>-10</v>
      </c>
      <c r="P3113" t="n">
        <v>0.00357</v>
      </c>
      <c r="Q3113" t="n">
        <v>-20</v>
      </c>
      <c r="R3113" t="n">
        <v>0.03027</v>
      </c>
      <c r="S3113">
        <f>IMAGE("https://mitra.stanford.edu/kundaje/oak/projects/neuro-variants/variant_position/credible/roussos_2024/variant_figures/roussos_2024.childhood.GLU/rs17867553_count_position.png",4,220,900)</f>
        <v/>
      </c>
      <c r="T3113">
        <f>IMAGE("https://mitra.stanford.edu/kundaje/oak/projects/neuro-variants/variant_position/credible/roussos_2024/variant_figures/roussos_2024.childhood.GLU/rs17867553_profile_position.png",4,220,900)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-0.08274508799999999</v>
      </c>
      <c r="G3114" t="n">
        <v>0.0727722044403572</v>
      </c>
      <c r="H3114" t="n">
        <v>0.0151500267925171</v>
      </c>
      <c r="I3114" t="n">
        <v>0.246810748038607</v>
      </c>
      <c r="J3114" t="n">
        <v>0.2575344864887139</v>
      </c>
      <c r="K3114" t="n">
        <v>0.115177644984874</v>
      </c>
      <c r="L3114" t="b">
        <v>0</v>
      </c>
      <c r="M3114" t="b">
        <v>0</v>
      </c>
      <c r="N3114" t="inlineStr">
        <is>
          <t>ref</t>
        </is>
      </c>
      <c r="O3114" t="n">
        <v>20</v>
      </c>
      <c r="P3114" t="n">
        <v>0.000595</v>
      </c>
      <c r="Q3114" t="n">
        <v>-45</v>
      </c>
      <c r="R3114" t="n">
        <v>0.0249</v>
      </c>
      <c r="S3114">
        <f>IMAGE("https://mitra.stanford.edu/kundaje/oak/projects/neuro-variants/variant_position/credible/roussos_2024/variant_figures/roussos_2024.childhood.GLU/rs1459540_count_position.png",4,220,900)</f>
        <v/>
      </c>
      <c r="T3114">
        <f>IMAGE("https://mitra.stanford.edu/kundaje/oak/projects/neuro-variants/variant_position/credible/roussos_2024/variant_figures/roussos_2024.childhood.GLU/rs1459540_profile_position.png",4,220,900)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0.080416683</v>
      </c>
      <c r="G3115" t="n">
        <v>0.0804672175224809</v>
      </c>
      <c r="H3115" t="n">
        <v>0.0356837203600607</v>
      </c>
      <c r="I3115" t="n">
        <v>0.0105929509592714</v>
      </c>
      <c r="J3115" t="n">
        <v>0.002972173859293</v>
      </c>
      <c r="K3115" t="n">
        <v>0.7392491988048291</v>
      </c>
      <c r="L3115" t="b">
        <v>0</v>
      </c>
      <c r="M3115" t="b">
        <v>0</v>
      </c>
      <c r="N3115" t="inlineStr">
        <is>
          <t>alt</t>
        </is>
      </c>
      <c r="O3115" t="n">
        <v>60</v>
      </c>
      <c r="P3115" t="n">
        <v>0.004692</v>
      </c>
      <c r="Q3115" t="n">
        <v>-15</v>
      </c>
      <c r="R3115" t="n">
        <v>0.04077</v>
      </c>
      <c r="S3115">
        <f>IMAGE("https://mitra.stanford.edu/kundaje/oak/projects/neuro-variants/variant_position/credible/roussos_2024/variant_figures/roussos_2024.childhood.GLU/rs17861256_count_position.png",4,220,900)</f>
        <v/>
      </c>
      <c r="T3115">
        <f>IMAGE("https://mitra.stanford.edu/kundaje/oak/projects/neuro-variants/variant_position/credible/roussos_2024/variant_figures/roussos_2024.childhood.GLU/rs17861256_profile_position.png",4,220,900)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0.0154940036999999</v>
      </c>
      <c r="G3116" t="n">
        <v>0.3570633190068665</v>
      </c>
      <c r="H3116" t="n">
        <v>0.0280889740599526</v>
      </c>
      <c r="I3116" t="n">
        <v>0.0286252056815071</v>
      </c>
      <c r="J3116" t="n">
        <v>0.0323529108759928</v>
      </c>
      <c r="K3116" t="n">
        <v>0.4242945597821689</v>
      </c>
      <c r="L3116" t="b">
        <v>0</v>
      </c>
      <c r="M3116" t="b">
        <v>0</v>
      </c>
      <c r="N3116" t="inlineStr">
        <is>
          <t>alt</t>
        </is>
      </c>
      <c r="O3116" t="n">
        <v>-45</v>
      </c>
      <c r="P3116" t="n">
        <v>0.0009155</v>
      </c>
      <c r="Q3116" t="n">
        <v>-45</v>
      </c>
      <c r="R3116" t="n">
        <v>0.0762</v>
      </c>
      <c r="S3116">
        <f>IMAGE("https://mitra.stanford.edu/kundaje/oak/projects/neuro-variants/variant_position/credible/roussos_2024/variant_figures/roussos_2024.childhood.GLU/rs1350616_count_position.png",4,220,900)</f>
        <v/>
      </c>
      <c r="T3116">
        <f>IMAGE("https://mitra.stanford.edu/kundaje/oak/projects/neuro-variants/variant_position/credible/roussos_2024/variant_figures/roussos_2024.childhood.GLU/rs1350616_profile_position.png",4,220,900)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-0.000861067924</v>
      </c>
      <c r="G3117" t="n">
        <v>0.7799154839030814</v>
      </c>
      <c r="H3117" t="n">
        <v>0.0184215987337817</v>
      </c>
      <c r="I3117" t="n">
        <v>0.132855537055912</v>
      </c>
      <c r="J3117" t="n">
        <v>0.0002544634118701</v>
      </c>
      <c r="K3117" t="n">
        <v>0.9133279270580104</v>
      </c>
      <c r="L3117" t="b">
        <v>0</v>
      </c>
      <c r="M3117" t="b">
        <v>0</v>
      </c>
      <c r="N3117" t="inlineStr">
        <is>
          <t>ref</t>
        </is>
      </c>
      <c r="O3117" t="n">
        <v>60</v>
      </c>
      <c r="P3117" t="n">
        <v>0.000993</v>
      </c>
      <c r="Q3117" t="n">
        <v>-100</v>
      </c>
      <c r="R3117" t="n">
        <v>0.0315</v>
      </c>
      <c r="S3117">
        <f>IMAGE("https://mitra.stanford.edu/kundaje/oak/projects/neuro-variants/variant_position/credible/roussos_2024/variant_figures/roussos_2024.childhood.GLU/rs4295331_count_position.png",4,220,900)</f>
        <v/>
      </c>
      <c r="T3117">
        <f>IMAGE("https://mitra.stanford.edu/kundaje/oak/projects/neuro-variants/variant_position/credible/roussos_2024/variant_figures/roussos_2024.childhood.GLU/rs4295331_profile_position.png",4,220,900)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0.00848697336</v>
      </c>
      <c r="G3118" t="n">
        <v>0.608407455351843</v>
      </c>
      <c r="H3118" t="n">
        <v>0.0265405585233819</v>
      </c>
      <c r="I3118" t="n">
        <v>0.0356920960861836</v>
      </c>
      <c r="J3118" t="n">
        <v>0.0014855718215252</v>
      </c>
      <c r="K3118" t="n">
        <v>0.8092683916970822</v>
      </c>
      <c r="L3118" t="b">
        <v>0</v>
      </c>
      <c r="M3118" t="b">
        <v>0</v>
      </c>
      <c r="N3118" t="inlineStr">
        <is>
          <t>alt</t>
        </is>
      </c>
      <c r="O3118" t="n">
        <v>65</v>
      </c>
      <c r="P3118" t="n">
        <v>0.004944</v>
      </c>
      <c r="Q3118" t="n">
        <v>60</v>
      </c>
      <c r="R3118" t="n">
        <v>0.0834</v>
      </c>
      <c r="S3118">
        <f>IMAGE("https://mitra.stanford.edu/kundaje/oak/projects/neuro-variants/variant_position/credible/roussos_2024/variant_figures/roussos_2024.childhood.GLU/rs1380370_count_position.png",4,220,900)</f>
        <v/>
      </c>
      <c r="T3118">
        <f>IMAGE("https://mitra.stanford.edu/kundaje/oak/projects/neuro-variants/variant_position/credible/roussos_2024/variant_figures/roussos_2024.childhood.GLU/rs1380370_profile_position.png",4,220,900)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-0.0374687026</v>
      </c>
      <c r="G3119" t="n">
        <v>0.2791051959291877</v>
      </c>
      <c r="H3119" t="n">
        <v>0.014737531074963</v>
      </c>
      <c r="I3119" t="n">
        <v>0.259719312158803</v>
      </c>
      <c r="J3119" t="n">
        <v>0.0236228584379861</v>
      </c>
      <c r="K3119" t="n">
        <v>0.4702506912887748</v>
      </c>
      <c r="L3119" t="b">
        <v>0</v>
      </c>
      <c r="M3119" t="b">
        <v>0</v>
      </c>
      <c r="N3119" t="inlineStr">
        <is>
          <t>ref</t>
        </is>
      </c>
      <c r="O3119" t="n">
        <v>-35</v>
      </c>
      <c r="P3119" t="n">
        <v>0.006115</v>
      </c>
      <c r="Q3119" t="n">
        <v>25</v>
      </c>
      <c r="R3119" t="n">
        <v>0.0327</v>
      </c>
      <c r="S3119">
        <f>IMAGE("https://mitra.stanford.edu/kundaje/oak/projects/neuro-variants/variant_position/credible/roussos_2024/variant_figures/roussos_2024.childhood.GLU/rs4516794_count_position.png",4,220,900)</f>
        <v/>
      </c>
      <c r="T3119">
        <f>IMAGE("https://mitra.stanford.edu/kundaje/oak/projects/neuro-variants/variant_position/credible/roussos_2024/variant_figures/roussos_2024.childhood.GLU/rs4516794_profile_position.png",4,220,900)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0.08938002199999991</v>
      </c>
      <c r="G3120" t="n">
        <v>0.0616843632631982</v>
      </c>
      <c r="H3120" t="n">
        <v>0.0218914914128002</v>
      </c>
      <c r="I3120" t="n">
        <v>0.07820804738736049</v>
      </c>
      <c r="J3120" t="n">
        <v>0.1748266661172179</v>
      </c>
      <c r="K3120" t="n">
        <v>0.1661062151543325</v>
      </c>
      <c r="L3120" t="b">
        <v>0</v>
      </c>
      <c r="M3120" t="b">
        <v>0</v>
      </c>
      <c r="N3120" t="inlineStr">
        <is>
          <t>alt</t>
        </is>
      </c>
      <c r="O3120" t="n">
        <v>-100</v>
      </c>
      <c r="P3120" t="n">
        <v>0.05164</v>
      </c>
      <c r="Q3120" t="n">
        <v>-100</v>
      </c>
      <c r="R3120" t="n">
        <v>0.3672</v>
      </c>
      <c r="S3120">
        <f>IMAGE("https://mitra.stanford.edu/kundaje/oak/projects/neuro-variants/variant_position/credible/roussos_2024/variant_figures/roussos_2024.childhood.GLU/rs4568305_count_position.png",4,220,900)</f>
        <v/>
      </c>
      <c r="T3120">
        <f>IMAGE("https://mitra.stanford.edu/kundaje/oak/projects/neuro-variants/variant_position/credible/roussos_2024/variant_figures/roussos_2024.childhood.GLU/rs4568305_profile_position.png",4,220,900)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-0.0037973809159999</v>
      </c>
      <c r="G3121" t="n">
        <v>0.7880493843579027</v>
      </c>
      <c r="H3121" t="n">
        <v>0.0222098022745546</v>
      </c>
      <c r="I3121" t="n">
        <v>0.0670873866447337</v>
      </c>
      <c r="J3121" t="n">
        <v>7.211513696724942e-06</v>
      </c>
      <c r="K3121" t="n">
        <v>0.9964050489765146</v>
      </c>
      <c r="L3121" t="b">
        <v>0</v>
      </c>
      <c r="M3121" t="b">
        <v>0</v>
      </c>
      <c r="N3121" t="inlineStr">
        <is>
          <t>ref</t>
        </is>
      </c>
      <c r="O3121" t="n">
        <v>-35</v>
      </c>
      <c r="P3121" t="n">
        <v>0.003288</v>
      </c>
      <c r="Q3121" t="n">
        <v>80</v>
      </c>
      <c r="R3121" t="n">
        <v>0.03558</v>
      </c>
      <c r="S3121">
        <f>IMAGE("https://mitra.stanford.edu/kundaje/oak/projects/neuro-variants/variant_position/credible/roussos_2024/variant_figures/roussos_2024.childhood.GLU/rs7661175_count_position.png",4,220,900)</f>
        <v/>
      </c>
      <c r="T3121">
        <f>IMAGE("https://mitra.stanford.edu/kundaje/oak/projects/neuro-variants/variant_position/credible/roussos_2024/variant_figures/roussos_2024.childhood.GLU/rs7661175_profile_position.png",4,220,900)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-0.1105746542</v>
      </c>
      <c r="G3122" t="n">
        <v>0.0373753784690351</v>
      </c>
      <c r="H3122" t="n">
        <v>0.0204506539104864</v>
      </c>
      <c r="I3122" t="n">
        <v>0.093402488247894</v>
      </c>
      <c r="J3122" t="n">
        <v>0.0693623991675852</v>
      </c>
      <c r="K3122" t="n">
        <v>0.3071826065918505</v>
      </c>
      <c r="L3122" t="b">
        <v>0</v>
      </c>
      <c r="M3122" t="b">
        <v>0</v>
      </c>
      <c r="N3122" t="inlineStr">
        <is>
          <t>ref</t>
        </is>
      </c>
      <c r="O3122" t="n">
        <v>-75</v>
      </c>
      <c r="P3122" t="n">
        <v>0.006935</v>
      </c>
      <c r="Q3122" t="n">
        <v>-10</v>
      </c>
      <c r="R3122" t="n">
        <v>0.0271</v>
      </c>
      <c r="S3122">
        <f>IMAGE("https://mitra.stanford.edu/kundaje/oak/projects/neuro-variants/variant_position/credible/roussos_2024/variant_figures/roussos_2024.childhood.GLU/rs1350617_count_position.png",4,220,900)</f>
        <v/>
      </c>
      <c r="T3122">
        <f>IMAGE("https://mitra.stanford.edu/kundaje/oak/projects/neuro-variants/variant_position/credible/roussos_2024/variant_figures/roussos_2024.childhood.GLU/rs1350617_profile_position.png",4,220,900)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-0.1001072441999999</v>
      </c>
      <c r="G3123" t="n">
        <v>0.0496195796249174</v>
      </c>
      <c r="H3123" t="n">
        <v>0.0307413749422036</v>
      </c>
      <c r="I3123" t="n">
        <v>0.0194383770858225</v>
      </c>
      <c r="J3123" t="n">
        <v>0.0259223010909989</v>
      </c>
      <c r="K3123" t="n">
        <v>0.4487705342385528</v>
      </c>
      <c r="L3123" t="b">
        <v>1</v>
      </c>
      <c r="M3123" t="b">
        <v>0</v>
      </c>
      <c r="N3123" t="inlineStr">
        <is>
          <t>ref</t>
        </is>
      </c>
      <c r="O3123" t="n">
        <v>-50</v>
      </c>
      <c r="P3123" t="n">
        <v>0.013275</v>
      </c>
      <c r="Q3123" t="n">
        <v>-25</v>
      </c>
      <c r="R3123" t="n">
        <v>0.05054</v>
      </c>
      <c r="S3123">
        <f>IMAGE("https://mitra.stanford.edu/kundaje/oak/projects/neuro-variants/variant_position/credible/roussos_2024/variant_figures/roussos_2024.childhood.GLU/rs17863939_count_position.png",4,220,900)</f>
        <v/>
      </c>
      <c r="T3123">
        <f>IMAGE("https://mitra.stanford.edu/kundaje/oak/projects/neuro-variants/variant_position/credible/roussos_2024/variant_figures/roussos_2024.childhood.GLU/rs17863939_profile_position.png",4,220,900)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-0.00325489798</v>
      </c>
      <c r="G3124" t="n">
        <v>0.7994303937607014</v>
      </c>
      <c r="H3124" t="n">
        <v>0.009876007448358299</v>
      </c>
      <c r="I3124" t="n">
        <v>0.67063302455439</v>
      </c>
      <c r="J3124" t="n">
        <v>0.0012960120329256</v>
      </c>
      <c r="K3124" t="n">
        <v>0.801836129601894</v>
      </c>
      <c r="L3124" t="b">
        <v>0</v>
      </c>
      <c r="M3124" t="b">
        <v>0</v>
      </c>
      <c r="N3124" t="inlineStr">
        <is>
          <t>ref</t>
        </is>
      </c>
      <c r="O3124" t="n">
        <v>-20</v>
      </c>
      <c r="P3124" t="n">
        <v>0.003166</v>
      </c>
      <c r="Q3124" t="n">
        <v>-100</v>
      </c>
      <c r="R3124" t="n">
        <v>0.09814000000000001</v>
      </c>
      <c r="S3124">
        <f>IMAGE("https://mitra.stanford.edu/kundaje/oak/projects/neuro-variants/variant_position/credible/roussos_2024/variant_figures/roussos_2024.childhood.GLU/rs9995094_count_position.png",4,220,900)</f>
        <v/>
      </c>
      <c r="T3124">
        <f>IMAGE("https://mitra.stanford.edu/kundaje/oak/projects/neuro-variants/variant_position/credible/roussos_2024/variant_figures/roussos_2024.childhood.GLU/rs9995094_profile_position.png",4,220,900)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0.1799099068</v>
      </c>
      <c r="G3125" t="n">
        <v>0.0122573952111679</v>
      </c>
      <c r="H3125" t="n">
        <v>0.0336523715607616</v>
      </c>
      <c r="I3125" t="n">
        <v>0.0159593647385137</v>
      </c>
      <c r="J3125" t="n">
        <v>0.0703792225988234</v>
      </c>
      <c r="K3125" t="n">
        <v>0.2975108426427745</v>
      </c>
      <c r="L3125" t="b">
        <v>1</v>
      </c>
      <c r="M3125" t="b">
        <v>0</v>
      </c>
      <c r="N3125" t="inlineStr">
        <is>
          <t>alt</t>
        </is>
      </c>
      <c r="O3125" t="n">
        <v>-30</v>
      </c>
      <c r="P3125" t="n">
        <v>0.004303</v>
      </c>
      <c r="Q3125" t="n">
        <v>100</v>
      </c>
      <c r="R3125" t="n">
        <v>0.2847</v>
      </c>
      <c r="S3125">
        <f>IMAGE("https://mitra.stanford.edu/kundaje/oak/projects/neuro-variants/variant_position/credible/roussos_2024/variant_figures/roussos_2024.childhood.GLU/rs17865121_count_position.png",4,220,900)</f>
        <v/>
      </c>
      <c r="T3125">
        <f>IMAGE("https://mitra.stanford.edu/kundaje/oak/projects/neuro-variants/variant_position/credible/roussos_2024/variant_figures/roussos_2024.childhood.GLU/rs17865121_profile_position.png",4,220,900)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0.20521208</v>
      </c>
      <c r="G3126" t="n">
        <v>0.00690138951683</v>
      </c>
      <c r="H3126" t="n">
        <v>0.0311499991253958</v>
      </c>
      <c r="I3126" t="n">
        <v>0.0189005381320492</v>
      </c>
      <c r="J3126" t="n">
        <v>0.0393357165669073</v>
      </c>
      <c r="K3126" t="n">
        <v>0.3903062623012596</v>
      </c>
      <c r="L3126" t="b">
        <v>1</v>
      </c>
      <c r="M3126" t="b">
        <v>1</v>
      </c>
      <c r="N3126" t="inlineStr">
        <is>
          <t>alt</t>
        </is>
      </c>
      <c r="O3126" t="n">
        <v>100</v>
      </c>
      <c r="P3126" t="n">
        <v>0.007820000000000001</v>
      </c>
      <c r="Q3126" t="n">
        <v>15</v>
      </c>
      <c r="R3126" t="n">
        <v>0.03577</v>
      </c>
      <c r="S3126">
        <f>IMAGE("https://mitra.stanford.edu/kundaje/oak/projects/neuro-variants/variant_position/credible/roussos_2024/variant_figures/roussos_2024.childhood.GLU/rs6824201_count_position.png",4,220,900)</f>
        <v/>
      </c>
      <c r="T3126">
        <f>IMAGE("https://mitra.stanford.edu/kundaje/oak/projects/neuro-variants/variant_position/credible/roussos_2024/variant_figures/roussos_2024.childhood.GLU/rs6824201_profile_position.png",4,220,900)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-0.027699036</v>
      </c>
      <c r="G3127" t="n">
        <v>0.3197652070265066</v>
      </c>
      <c r="H3127" t="n">
        <v>0.0207242407588918</v>
      </c>
      <c r="I3127" t="n">
        <v>0.08777210229751629</v>
      </c>
      <c r="J3127" t="n">
        <v>0.08027341939073</v>
      </c>
      <c r="K3127" t="n">
        <v>0.2800480160245198</v>
      </c>
      <c r="L3127" t="b">
        <v>0</v>
      </c>
      <c r="M3127" t="b">
        <v>0</v>
      </c>
      <c r="N3127" t="inlineStr">
        <is>
          <t>ref</t>
        </is>
      </c>
      <c r="O3127" t="n">
        <v>60</v>
      </c>
      <c r="P3127" t="n">
        <v>0.00488</v>
      </c>
      <c r="Q3127" t="n">
        <v>50</v>
      </c>
      <c r="R3127" t="n">
        <v>0.01758</v>
      </c>
      <c r="S3127">
        <f>IMAGE("https://mitra.stanford.edu/kundaje/oak/projects/neuro-variants/variant_position/credible/roussos_2024/variant_figures/roussos_2024.childhood.GLU/rs1459530_count_position.png",4,220,900)</f>
        <v/>
      </c>
      <c r="T3127">
        <f>IMAGE("https://mitra.stanford.edu/kundaje/oak/projects/neuro-variants/variant_position/credible/roussos_2024/variant_figures/roussos_2024.childhood.GLU/rs1459530_profile_position.png",4,220,900)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0.091444134</v>
      </c>
      <c r="G3128" t="n">
        <v>0.054118572259055</v>
      </c>
      <c r="H3128" t="n">
        <v>0.0281336550162021</v>
      </c>
      <c r="I3128" t="n">
        <v>0.0301691438120546</v>
      </c>
      <c r="J3128" t="n">
        <v>0.0487735275634355</v>
      </c>
      <c r="K3128" t="n">
        <v>0.3538875607271935</v>
      </c>
      <c r="L3128" t="b">
        <v>0</v>
      </c>
      <c r="M3128" t="b">
        <v>0</v>
      </c>
      <c r="N3128" t="inlineStr">
        <is>
          <t>alt</t>
        </is>
      </c>
      <c r="O3128" t="n">
        <v>100</v>
      </c>
      <c r="P3128" t="n">
        <v>0.00286</v>
      </c>
      <c r="Q3128" t="n">
        <v>15</v>
      </c>
      <c r="R3128" t="n">
        <v>0.0594</v>
      </c>
      <c r="S3128">
        <f>IMAGE("https://mitra.stanford.edu/kundaje/oak/projects/neuro-variants/variant_position/credible/roussos_2024/variant_figures/roussos_2024.childhood.GLU/rs4834639_count_position.png",4,220,900)</f>
        <v/>
      </c>
      <c r="T3128">
        <f>IMAGE("https://mitra.stanford.edu/kundaje/oak/projects/neuro-variants/variant_position/credible/roussos_2024/variant_figures/roussos_2024.childhood.GLU/rs4834639_profile_position.png",4,220,900)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0.008469122536</v>
      </c>
      <c r="G3129" t="n">
        <v>0.7081800280652734</v>
      </c>
      <c r="H3129" t="n">
        <v>0.030194326374752</v>
      </c>
      <c r="I3129" t="n">
        <v>0.0207302366771298</v>
      </c>
      <c r="J3129" t="n">
        <v>0.0024797304954309</v>
      </c>
      <c r="K3129" t="n">
        <v>0.7412511478639097</v>
      </c>
      <c r="L3129" t="b">
        <v>0</v>
      </c>
      <c r="M3129" t="b">
        <v>0</v>
      </c>
      <c r="N3129" t="inlineStr">
        <is>
          <t>alt</t>
        </is>
      </c>
      <c r="O3129" t="n">
        <v>100</v>
      </c>
      <c r="P3129" t="n">
        <v>0.001648</v>
      </c>
      <c r="Q3129" t="n">
        <v>-95</v>
      </c>
      <c r="R3129" t="n">
        <v>0.1014</v>
      </c>
      <c r="S3129">
        <f>IMAGE("https://mitra.stanford.edu/kundaje/oak/projects/neuro-variants/variant_position/credible/roussos_2024/variant_figures/roussos_2024.childhood.GLU/rs4377658_count_position.png",4,220,900)</f>
        <v/>
      </c>
      <c r="T3129">
        <f>IMAGE("https://mitra.stanford.edu/kundaje/oak/projects/neuro-variants/variant_position/credible/roussos_2024/variant_figures/roussos_2024.childhood.GLU/rs4377658_profile_position.png",4,220,900)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0.1057553275999999</v>
      </c>
      <c r="G3130" t="n">
        <v>0.0395432244579608</v>
      </c>
      <c r="H3130" t="n">
        <v>0.016026104992539</v>
      </c>
      <c r="I3130" t="n">
        <v>0.2040667931194232</v>
      </c>
      <c r="J3130" t="n">
        <v>0.0281331451471663</v>
      </c>
      <c r="K3130" t="n">
        <v>0.4442952006853006</v>
      </c>
      <c r="L3130" t="b">
        <v>0</v>
      </c>
      <c r="M3130" t="b">
        <v>0</v>
      </c>
      <c r="N3130" t="inlineStr">
        <is>
          <t>alt</t>
        </is>
      </c>
      <c r="O3130" t="n">
        <v>-15</v>
      </c>
      <c r="P3130" t="n">
        <v>0.003853</v>
      </c>
      <c r="Q3130" t="n">
        <v>-25</v>
      </c>
      <c r="R3130" t="n">
        <v>0.04077</v>
      </c>
      <c r="S3130">
        <f>IMAGE("https://mitra.stanford.edu/kundaje/oak/projects/neuro-variants/variant_position/credible/roussos_2024/variant_figures/roussos_2024.childhood.GLU/rs7680858_count_position.png",4,220,900)</f>
        <v/>
      </c>
      <c r="T3130">
        <f>IMAGE("https://mitra.stanford.edu/kundaje/oak/projects/neuro-variants/variant_position/credible/roussos_2024/variant_figures/roussos_2024.childhood.GLU/rs7680858_profile_position.png",4,220,900)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0.0391696422</v>
      </c>
      <c r="G3131" t="n">
        <v>0.2519130410274152</v>
      </c>
      <c r="H3131" t="n">
        <v>0.009638050731947999</v>
      </c>
      <c r="I3131" t="n">
        <v>0.6903683328617004</v>
      </c>
      <c r="J3131" t="n">
        <v>0.1041497110243439</v>
      </c>
      <c r="K3131" t="n">
        <v>0.2398725600327886</v>
      </c>
      <c r="L3131" t="b">
        <v>0</v>
      </c>
      <c r="M3131" t="b">
        <v>0</v>
      </c>
      <c r="N3131" t="inlineStr">
        <is>
          <t>alt</t>
        </is>
      </c>
      <c r="O3131" t="n">
        <v>-50</v>
      </c>
      <c r="P3131" t="n">
        <v>0.001434</v>
      </c>
      <c r="Q3131" t="n">
        <v>20</v>
      </c>
      <c r="R3131" t="n">
        <v>0.04633</v>
      </c>
      <c r="S3131">
        <f>IMAGE("https://mitra.stanford.edu/kundaje/oak/projects/neuro-variants/variant_position/credible/roussos_2024/variant_figures/roussos_2024.childhood.GLU/rs67213843_count_position.png",4,220,900)</f>
        <v/>
      </c>
      <c r="T3131">
        <f>IMAGE("https://mitra.stanford.edu/kundaje/oak/projects/neuro-variants/variant_position/credible/roussos_2024/variant_figures/roussos_2024.childhood.GLU/rs67213843_profile_position.png",4,220,900)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-0.14539445</v>
      </c>
      <c r="G3132" t="n">
        <v>0.0198210421633064</v>
      </c>
      <c r="H3132" t="n">
        <v>0.0287706983079329</v>
      </c>
      <c r="I3132" t="n">
        <v>0.0248269722317812</v>
      </c>
      <c r="J3132" t="n">
        <v>0.0261098004471138</v>
      </c>
      <c r="K3132" t="n">
        <v>0.4487643845357859</v>
      </c>
      <c r="L3132" t="b">
        <v>1</v>
      </c>
      <c r="M3132" t="b">
        <v>0</v>
      </c>
      <c r="N3132" t="inlineStr">
        <is>
          <t>ref</t>
        </is>
      </c>
      <c r="O3132" t="n">
        <v>100</v>
      </c>
      <c r="P3132" t="n">
        <v>0.02213</v>
      </c>
      <c r="Q3132" t="n">
        <v>40</v>
      </c>
      <c r="R3132" t="n">
        <v>0.009639999999999999</v>
      </c>
      <c r="S3132">
        <f>IMAGE("https://mitra.stanford.edu/kundaje/oak/projects/neuro-variants/variant_position/credible/roussos_2024/variant_figures/roussos_2024.childhood.GLU/rs55923363_count_position.png",4,220,900)</f>
        <v/>
      </c>
      <c r="T3132">
        <f>IMAGE("https://mitra.stanford.edu/kundaje/oak/projects/neuro-variants/variant_position/credible/roussos_2024/variant_figures/roussos_2024.childhood.GLU/rs55923363_profile_position.png",4,220,900)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-0.01193290444</v>
      </c>
      <c r="G3133" t="n">
        <v>0.6346941644597153</v>
      </c>
      <c r="H3133" t="n">
        <v>0.0208734662002819</v>
      </c>
      <c r="I3133" t="n">
        <v>0.08369447237331359</v>
      </c>
      <c r="J3133" t="n">
        <v>0.0020594022685361</v>
      </c>
      <c r="K3133" t="n">
        <v>0.7709878363849849</v>
      </c>
      <c r="L3133" t="b">
        <v>0</v>
      </c>
      <c r="M3133" t="b">
        <v>0</v>
      </c>
      <c r="N3133" t="inlineStr">
        <is>
          <t>ref</t>
        </is>
      </c>
      <c r="O3133" t="n">
        <v>20</v>
      </c>
      <c r="P3133" t="n">
        <v>0.003998</v>
      </c>
      <c r="Q3133" t="n">
        <v>0</v>
      </c>
      <c r="R3133" t="n">
        <v>0</v>
      </c>
      <c r="S3133">
        <f>IMAGE("https://mitra.stanford.edu/kundaje/oak/projects/neuro-variants/variant_position/credible/roussos_2024/variant_figures/roussos_2024.childhood.GLU/rs28521069_count_position.png",4,220,900)</f>
        <v/>
      </c>
      <c r="T3133">
        <f>IMAGE("https://mitra.stanford.edu/kundaje/oak/projects/neuro-variants/variant_position/credible/roussos_2024/variant_figures/roussos_2024.childhood.GLU/rs28521069_profile_position.png",4,220,900)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0.00518611318</v>
      </c>
      <c r="G3134" t="n">
        <v>0.7917855631445103</v>
      </c>
      <c r="H3134" t="n">
        <v>0.0273743280215477</v>
      </c>
      <c r="I3134" t="n">
        <v>0.0308901589929683</v>
      </c>
      <c r="J3134" t="n">
        <v>0.002916542182204</v>
      </c>
      <c r="K3134" t="n">
        <v>0.7291251835804972</v>
      </c>
      <c r="L3134" t="b">
        <v>0</v>
      </c>
      <c r="M3134" t="b">
        <v>0</v>
      </c>
      <c r="N3134" t="inlineStr">
        <is>
          <t>alt</t>
        </is>
      </c>
      <c r="O3134" t="n">
        <v>-100</v>
      </c>
      <c r="P3134" t="n">
        <v>0.00669</v>
      </c>
      <c r="Q3134" t="n">
        <v>100</v>
      </c>
      <c r="R3134" t="n">
        <v>0.1167</v>
      </c>
      <c r="S3134">
        <f>IMAGE("https://mitra.stanford.edu/kundaje/oak/projects/neuro-variants/variant_position/credible/roussos_2024/variant_figures/roussos_2024.childhood.GLU/rs7666685_count_position.png",4,220,900)</f>
        <v/>
      </c>
      <c r="T3134">
        <f>IMAGE("https://mitra.stanford.edu/kundaje/oak/projects/neuro-variants/variant_position/credible/roussos_2024/variant_figures/roussos_2024.childhood.GLU/rs7666685_profile_position.png",4,220,900)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0.231012056</v>
      </c>
      <c r="G3135" t="n">
        <v>0.0050967048536666</v>
      </c>
      <c r="H3135" t="n">
        <v>0.0290234561129613</v>
      </c>
      <c r="I3135" t="n">
        <v>0.026604615368505</v>
      </c>
      <c r="J3135" t="n">
        <v>0.0128086785416258</v>
      </c>
      <c r="K3135" t="n">
        <v>0.5607827246978742</v>
      </c>
      <c r="L3135" t="b">
        <v>1</v>
      </c>
      <c r="M3135" t="b">
        <v>1</v>
      </c>
      <c r="N3135" t="inlineStr">
        <is>
          <t>alt</t>
        </is>
      </c>
      <c r="O3135" t="n">
        <v>-65</v>
      </c>
      <c r="P3135" t="n">
        <v>0.01257</v>
      </c>
      <c r="Q3135" t="n">
        <v>-65</v>
      </c>
      <c r="R3135" t="n">
        <v>0.08057</v>
      </c>
      <c r="S3135">
        <f>IMAGE("https://mitra.stanford.edu/kundaje/oak/projects/neuro-variants/variant_position/credible/roussos_2024/variant_figures/roussos_2024.childhood.GLU/rs6821845_count_position.png",4,220,900)</f>
        <v/>
      </c>
      <c r="T3135">
        <f>IMAGE("https://mitra.stanford.edu/kundaje/oak/projects/neuro-variants/variant_position/credible/roussos_2024/variant_figures/roussos_2024.childhood.GLU/rs6821845_profile_position.png",4,220,900)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-0.0522120764</v>
      </c>
      <c r="G3136" t="n">
        <v>0.1664502308989337</v>
      </c>
      <c r="H3136" t="n">
        <v>0.0156820925724133</v>
      </c>
      <c r="I3136" t="n">
        <v>0.2201853572728946</v>
      </c>
      <c r="J3136" t="n">
        <v>0.06975594177217791</v>
      </c>
      <c r="K3136" t="n">
        <v>0.3177778275291879</v>
      </c>
      <c r="L3136" t="b">
        <v>0</v>
      </c>
      <c r="M3136" t="b">
        <v>0</v>
      </c>
      <c r="N3136" t="inlineStr">
        <is>
          <t>ref</t>
        </is>
      </c>
      <c r="O3136" t="n">
        <v>90</v>
      </c>
      <c r="P3136" t="n">
        <v>0.00609</v>
      </c>
      <c r="Q3136" t="n">
        <v>-40</v>
      </c>
      <c r="R3136" t="n">
        <v>0.09204</v>
      </c>
      <c r="S3136">
        <f>IMAGE("https://mitra.stanford.edu/kundaje/oak/projects/neuro-variants/variant_position/credible/roussos_2024/variant_figures/roussos_2024.childhood.GLU/rs145065097_count_position.png",4,220,900)</f>
        <v/>
      </c>
      <c r="T3136">
        <f>IMAGE("https://mitra.stanford.edu/kundaje/oak/projects/neuro-variants/variant_position/credible/roussos_2024/variant_figures/roussos_2024.childhood.GLU/rs145065097_profile_position.png",4,220,900)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0.0911251604</v>
      </c>
      <c r="G3137" t="n">
        <v>0.0550827742606154</v>
      </c>
      <c r="H3137" t="n">
        <v>0.021464886207567</v>
      </c>
      <c r="I3137" t="n">
        <v>0.0806443794988292</v>
      </c>
      <c r="J3137" t="n">
        <v>0.0240040384476701</v>
      </c>
      <c r="K3137" t="n">
        <v>0.4632413077411331</v>
      </c>
      <c r="L3137" t="b">
        <v>0</v>
      </c>
      <c r="M3137" t="b">
        <v>0</v>
      </c>
      <c r="N3137" t="inlineStr">
        <is>
          <t>alt</t>
        </is>
      </c>
      <c r="O3137" t="n">
        <v>-100</v>
      </c>
      <c r="P3137" t="n">
        <v>0.00595</v>
      </c>
      <c r="Q3137" t="n">
        <v>-95</v>
      </c>
      <c r="R3137" t="n">
        <v>0.1372</v>
      </c>
      <c r="S3137">
        <f>IMAGE("https://mitra.stanford.edu/kundaje/oak/projects/neuro-variants/variant_position/credible/roussos_2024/variant_figures/roussos_2024.childhood.GLU/rs12641736_count_position.png",4,220,900)</f>
        <v/>
      </c>
      <c r="T3137">
        <f>IMAGE("https://mitra.stanford.edu/kundaje/oak/projects/neuro-variants/variant_position/credible/roussos_2024/variant_figures/roussos_2024.childhood.GLU/rs12641736_profile_position.png",4,220,900)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-0.0146250565999999</v>
      </c>
      <c r="G3138" t="n">
        <v>0.2475985233555148</v>
      </c>
      <c r="H3138" t="n">
        <v>0.0282705868930285</v>
      </c>
      <c r="I3138" t="n">
        <v>0.0275979670242945</v>
      </c>
      <c r="J3138" t="n">
        <v>0.0247231293848578</v>
      </c>
      <c r="K3138" t="n">
        <v>0.4583347073045607</v>
      </c>
      <c r="L3138" t="b">
        <v>0</v>
      </c>
      <c r="M3138" t="b">
        <v>0</v>
      </c>
      <c r="N3138" t="inlineStr">
        <is>
          <t>ref</t>
        </is>
      </c>
      <c r="O3138" t="n">
        <v>-60</v>
      </c>
      <c r="P3138" t="n">
        <v>0.013</v>
      </c>
      <c r="Q3138" t="n">
        <v>-60</v>
      </c>
      <c r="R3138" t="n">
        <v>0.10254</v>
      </c>
      <c r="S3138">
        <f>IMAGE("https://mitra.stanford.edu/kundaje/oak/projects/neuro-variants/variant_position/credible/roussos_2024/variant_figures/roussos_2024.childhood.GLU/rs4834649_count_position.png",4,220,900)</f>
        <v/>
      </c>
      <c r="T3138">
        <f>IMAGE("https://mitra.stanford.edu/kundaje/oak/projects/neuro-variants/variant_position/credible/roussos_2024/variant_figures/roussos_2024.childhood.GLU/rs4834649_profile_position.png",4,220,900)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0.023064824</v>
      </c>
      <c r="G3139" t="n">
        <v>0.4077952879034821</v>
      </c>
      <c r="H3139" t="n">
        <v>0.0295240140640135</v>
      </c>
      <c r="I3139" t="n">
        <v>0.0223506577357106</v>
      </c>
      <c r="J3139" t="n">
        <v>0.0101280558789289</v>
      </c>
      <c r="K3139" t="n">
        <v>0.5841431448254152</v>
      </c>
      <c r="L3139" t="b">
        <v>0</v>
      </c>
      <c r="M3139" t="b">
        <v>0</v>
      </c>
      <c r="N3139" t="inlineStr">
        <is>
          <t>alt</t>
        </is>
      </c>
      <c r="O3139" t="n">
        <v>100</v>
      </c>
      <c r="P3139" t="n">
        <v>0.00747</v>
      </c>
      <c r="Q3139" t="n">
        <v>100</v>
      </c>
      <c r="R3139" t="n">
        <v>0.0737</v>
      </c>
      <c r="S3139">
        <f>IMAGE("https://mitra.stanford.edu/kundaje/oak/projects/neuro-variants/variant_position/credible/roussos_2024/variant_figures/roussos_2024.childhood.GLU/rs2389473_count_position.png",4,220,900)</f>
        <v/>
      </c>
      <c r="T3139">
        <f>IMAGE("https://mitra.stanford.edu/kundaje/oak/projects/neuro-variants/variant_position/credible/roussos_2024/variant_figures/roussos_2024.childhood.GLU/rs2389473_profile_position.png",4,220,900)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0.2649938819999999</v>
      </c>
      <c r="G3140" t="n">
        <v>0.0036626655784288</v>
      </c>
      <c r="H3140" t="n">
        <v>0.0409252754322579</v>
      </c>
      <c r="I3140" t="n">
        <v>0.0074601033313815</v>
      </c>
      <c r="J3140" t="n">
        <v>0.005354033811697</v>
      </c>
      <c r="K3140" t="n">
        <v>0.6778585277180116</v>
      </c>
      <c r="L3140" t="b">
        <v>1</v>
      </c>
      <c r="M3140" t="b">
        <v>1</v>
      </c>
      <c r="N3140" t="inlineStr">
        <is>
          <t>alt</t>
        </is>
      </c>
      <c r="O3140" t="n">
        <v>-90</v>
      </c>
      <c r="P3140" t="n">
        <v>0.02286</v>
      </c>
      <c r="Q3140" t="n">
        <v>-25</v>
      </c>
      <c r="R3140" t="n">
        <v>0.05334</v>
      </c>
      <c r="S3140">
        <f>IMAGE("https://mitra.stanford.edu/kundaje/oak/projects/neuro-variants/variant_position/credible/roussos_2024/variant_figures/roussos_2024.childhood.GLU/rs13111689_count_position.png",4,220,900)</f>
        <v/>
      </c>
      <c r="T3140">
        <f>IMAGE("https://mitra.stanford.edu/kundaje/oak/projects/neuro-variants/variant_position/credible/roussos_2024/variant_figures/roussos_2024.childhood.GLU/rs13111689_profile_position.png",4,220,900)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-0.0201650706</v>
      </c>
      <c r="G3141" t="n">
        <v>0.4084906964190577</v>
      </c>
      <c r="H3141" t="n">
        <v>0.04302422880591</v>
      </c>
      <c r="I3141" t="n">
        <v>0.004907025709008</v>
      </c>
      <c r="J3141" t="n">
        <v>0.0040209339940453</v>
      </c>
      <c r="K3141" t="n">
        <v>0.6970545603043566</v>
      </c>
      <c r="L3141" t="b">
        <v>0</v>
      </c>
      <c r="M3141" t="b">
        <v>0</v>
      </c>
      <c r="N3141" t="inlineStr">
        <is>
          <t>ref</t>
        </is>
      </c>
      <c r="O3141" t="n">
        <v>100</v>
      </c>
      <c r="P3141" t="n">
        <v>0.01404</v>
      </c>
      <c r="Q3141" t="n">
        <v>100</v>
      </c>
      <c r="R3141" t="n">
        <v>0.1443</v>
      </c>
      <c r="S3141">
        <f>IMAGE("https://mitra.stanford.edu/kundaje/oak/projects/neuro-variants/variant_position/credible/roussos_2024/variant_figures/roussos_2024.childhood.GLU/rs10005201_count_position.png",4,220,900)</f>
        <v/>
      </c>
      <c r="T3141">
        <f>IMAGE("https://mitra.stanford.edu/kundaje/oak/projects/neuro-variants/variant_position/credible/roussos_2024/variant_figures/roussos_2024.childhood.GLU/rs10005201_profile_position.png",4,220,900)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0.0545599398</v>
      </c>
      <c r="G3142" t="n">
        <v>0.1486599077559943</v>
      </c>
      <c r="H3142" t="n">
        <v>0.017752278412421</v>
      </c>
      <c r="I3142" t="n">
        <v>0.1451370931741012</v>
      </c>
      <c r="J3142" t="n">
        <v>0.0135164371001472</v>
      </c>
      <c r="K3142" t="n">
        <v>0.551417735119526</v>
      </c>
      <c r="L3142" t="b">
        <v>0</v>
      </c>
      <c r="M3142" t="b">
        <v>0</v>
      </c>
      <c r="N3142" t="inlineStr">
        <is>
          <t>alt</t>
        </is>
      </c>
      <c r="O3142" t="n">
        <v>80</v>
      </c>
      <c r="P3142" t="n">
        <v>0.009950000000000001</v>
      </c>
      <c r="Q3142" t="n">
        <v>-75</v>
      </c>
      <c r="R3142" t="n">
        <v>0.04523</v>
      </c>
      <c r="S3142">
        <f>IMAGE("https://mitra.stanford.edu/kundaje/oak/projects/neuro-variants/variant_position/credible/roussos_2024/variant_figures/roussos_2024.childhood.GLU/rs1994381_count_position.png",4,220,900)</f>
        <v/>
      </c>
      <c r="T3142">
        <f>IMAGE("https://mitra.stanford.edu/kundaje/oak/projects/neuro-variants/variant_position/credible/roussos_2024/variant_figures/roussos_2024.childhood.GLU/rs1994381_profile_position.png",4,220,900)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0.0082831019399999</v>
      </c>
      <c r="G3143" t="n">
        <v>0.6472924844266698</v>
      </c>
      <c r="H3143" t="n">
        <v>0.0227043842294193</v>
      </c>
      <c r="I3143" t="n">
        <v>0.0629488933577719</v>
      </c>
      <c r="J3143" t="n">
        <v>0.0004945037963467</v>
      </c>
      <c r="K3143" t="n">
        <v>0.8686265230791785</v>
      </c>
      <c r="L3143" t="b">
        <v>0</v>
      </c>
      <c r="M3143" t="b">
        <v>0</v>
      </c>
      <c r="N3143" t="inlineStr">
        <is>
          <t>alt</t>
        </is>
      </c>
      <c r="O3143" t="n">
        <v>-100</v>
      </c>
      <c r="P3143" t="n">
        <v>0.005814</v>
      </c>
      <c r="Q3143" t="n">
        <v>65</v>
      </c>
      <c r="R3143" t="n">
        <v>0.05768</v>
      </c>
      <c r="S3143">
        <f>IMAGE("https://mitra.stanford.edu/kundaje/oak/projects/neuro-variants/variant_position/credible/roussos_2024/variant_figures/roussos_2024.childhood.GLU/rs2892779_count_position.png",4,220,900)</f>
        <v/>
      </c>
      <c r="T3143">
        <f>IMAGE("https://mitra.stanford.edu/kundaje/oak/projects/neuro-variants/variant_position/credible/roussos_2024/variant_figures/roussos_2024.childhood.GLU/rs2892779_profile_position.png",4,220,900)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-0.0695079482</v>
      </c>
      <c r="G3144" t="n">
        <v>0.1181026033266041</v>
      </c>
      <c r="H3144" t="n">
        <v>0.0158156672816187</v>
      </c>
      <c r="I3144" t="n">
        <v>0.2103487050474601</v>
      </c>
      <c r="J3144" t="n">
        <v>0.1580042650952434</v>
      </c>
      <c r="K3144" t="n">
        <v>0.1789061146220495</v>
      </c>
      <c r="L3144" t="b">
        <v>0</v>
      </c>
      <c r="M3144" t="b">
        <v>0</v>
      </c>
      <c r="N3144" t="inlineStr">
        <is>
          <t>ref</t>
        </is>
      </c>
      <c r="O3144" t="n">
        <v>-5</v>
      </c>
      <c r="P3144" t="n">
        <v>0.0001526</v>
      </c>
      <c r="Q3144" t="n">
        <v>5</v>
      </c>
      <c r="R3144" t="n">
        <v>0.008789999999999999</v>
      </c>
      <c r="S3144">
        <f>IMAGE("https://mitra.stanford.edu/kundaje/oak/projects/neuro-variants/variant_position/credible/roussos_2024/variant_figures/roussos_2024.childhood.GLU/rs1992418_count_position.png",4,220,900)</f>
        <v/>
      </c>
      <c r="T3144">
        <f>IMAGE("https://mitra.stanford.edu/kundaje/oak/projects/neuro-variants/variant_position/credible/roussos_2024/variant_figures/roussos_2024.childhood.GLU/rs1992418_profile_position.png",4,220,900)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0.145940556</v>
      </c>
      <c r="G3145" t="n">
        <v>0.0180443334268979</v>
      </c>
      <c r="H3145" t="n">
        <v>0.0201259856792791</v>
      </c>
      <c r="I3145" t="n">
        <v>0.09704040848031931</v>
      </c>
      <c r="J3145" t="n">
        <v>0.0898966693108883</v>
      </c>
      <c r="K3145" t="n">
        <v>0.2649764149080695</v>
      </c>
      <c r="L3145" t="b">
        <v>1</v>
      </c>
      <c r="M3145" t="b">
        <v>0</v>
      </c>
      <c r="N3145" t="inlineStr">
        <is>
          <t>alt</t>
        </is>
      </c>
      <c r="O3145" t="n">
        <v>-45</v>
      </c>
      <c r="P3145" t="n">
        <v>0.002502</v>
      </c>
      <c r="Q3145" t="n">
        <v>-55</v>
      </c>
      <c r="R3145" t="n">
        <v>0.02002</v>
      </c>
      <c r="S3145">
        <f>IMAGE("https://mitra.stanford.edu/kundaje/oak/projects/neuro-variants/variant_position/credible/roussos_2024/variant_figures/roussos_2024.childhood.GLU/rs6537131_count_position.png",4,220,900)</f>
        <v/>
      </c>
      <c r="T3145">
        <f>IMAGE("https://mitra.stanford.edu/kundaje/oak/projects/neuro-variants/variant_position/credible/roussos_2024/variant_figures/roussos_2024.childhood.GLU/rs6537131_profile_position.png",4,220,900)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0.08684697179999989</v>
      </c>
      <c r="G3146" t="n">
        <v>0.06548706405933449</v>
      </c>
      <c r="H3146" t="n">
        <v>0.0191623165241601</v>
      </c>
      <c r="I3146" t="n">
        <v>0.1198113926012291</v>
      </c>
      <c r="J3146" t="n">
        <v>0.0559046843932541</v>
      </c>
      <c r="K3146" t="n">
        <v>0.3331444232694598</v>
      </c>
      <c r="L3146" t="b">
        <v>0</v>
      </c>
      <c r="M3146" t="b">
        <v>0</v>
      </c>
      <c r="N3146" t="inlineStr">
        <is>
          <t>alt</t>
        </is>
      </c>
      <c r="O3146" t="n">
        <v>-100</v>
      </c>
      <c r="P3146" t="n">
        <v>0.02625</v>
      </c>
      <c r="Q3146" t="n">
        <v>85</v>
      </c>
      <c r="R3146" t="n">
        <v>0.1196</v>
      </c>
      <c r="S3146">
        <f>IMAGE("https://mitra.stanford.edu/kundaje/oak/projects/neuro-variants/variant_position/credible/roussos_2024/variant_figures/roussos_2024.childhood.GLU/rs17016873_count_position.png",4,220,900)</f>
        <v/>
      </c>
      <c r="T3146">
        <f>IMAGE("https://mitra.stanford.edu/kundaje/oak/projects/neuro-variants/variant_position/credible/roussos_2024/variant_figures/roussos_2024.childhood.GLU/rs17016873_profile_position.png",4,220,900)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-0.0114368768</v>
      </c>
      <c r="G3147" t="n">
        <v>0.449074696518312</v>
      </c>
      <c r="H3147" t="n">
        <v>0.0240070334474297</v>
      </c>
      <c r="I3147" t="n">
        <v>0.0500456672690927</v>
      </c>
      <c r="J3147" t="n">
        <v>0.1058629606354373</v>
      </c>
      <c r="K3147" t="n">
        <v>0.2372918287750209</v>
      </c>
      <c r="L3147" t="b">
        <v>0</v>
      </c>
      <c r="M3147" t="b">
        <v>0</v>
      </c>
      <c r="N3147" t="inlineStr">
        <is>
          <t>ref</t>
        </is>
      </c>
      <c r="O3147" t="n">
        <v>-100</v>
      </c>
      <c r="P3147" t="n">
        <v>0.00262</v>
      </c>
      <c r="Q3147" t="n">
        <v>10</v>
      </c>
      <c r="R3147" t="n">
        <v>0.02197</v>
      </c>
      <c r="S3147">
        <f>IMAGE("https://mitra.stanford.edu/kundaje/oak/projects/neuro-variants/variant_position/credible/roussos_2024/variant_figures/roussos_2024.childhood.GLU/rs7681616_count_position.png",4,220,900)</f>
        <v/>
      </c>
      <c r="T3147">
        <f>IMAGE("https://mitra.stanford.edu/kundaje/oak/projects/neuro-variants/variant_position/credible/roussos_2024/variant_figures/roussos_2024.childhood.GLU/rs7681616_profile_position.png",4,220,900)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-0.0455840534</v>
      </c>
      <c r="G3148" t="n">
        <v>0.2091691118278604</v>
      </c>
      <c r="H3148" t="n">
        <v>0.0128233153050708</v>
      </c>
      <c r="I3148" t="n">
        <v>0.3812446054823707</v>
      </c>
      <c r="J3148" t="n">
        <v>0.0129189116795614</v>
      </c>
      <c r="K3148" t="n">
        <v>0.5566348334399306</v>
      </c>
      <c r="L3148" t="b">
        <v>0</v>
      </c>
      <c r="M3148" t="b">
        <v>0</v>
      </c>
      <c r="N3148" t="inlineStr">
        <is>
          <t>ref</t>
        </is>
      </c>
      <c r="O3148" t="n">
        <v>-40</v>
      </c>
      <c r="P3148" t="n">
        <v>0.01282</v>
      </c>
      <c r="Q3148" t="n">
        <v>-45</v>
      </c>
      <c r="R3148" t="n">
        <v>0.125</v>
      </c>
      <c r="S3148">
        <f>IMAGE("https://mitra.stanford.edu/kundaje/oak/projects/neuro-variants/variant_position/credible/roussos_2024/variant_figures/roussos_2024.childhood.GLU/rs7679474_count_position.png",4,220,900)</f>
        <v/>
      </c>
      <c r="T3148">
        <f>IMAGE("https://mitra.stanford.edu/kundaje/oak/projects/neuro-variants/variant_position/credible/roussos_2024/variant_figures/roussos_2024.childhood.GLU/rs7679474_profile_position.png",4,220,900)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-0.148726517</v>
      </c>
      <c r="G3149" t="n">
        <v>0.0190487853559883</v>
      </c>
      <c r="H3149" t="n">
        <v>0.0240021457297615</v>
      </c>
      <c r="I3149" t="n">
        <v>0.0588416423007877</v>
      </c>
      <c r="J3149" t="n">
        <v>0.0051325373195833</v>
      </c>
      <c r="K3149" t="n">
        <v>0.6839173970100706</v>
      </c>
      <c r="L3149" t="b">
        <v>1</v>
      </c>
      <c r="M3149" t="b">
        <v>0</v>
      </c>
      <c r="N3149" t="inlineStr">
        <is>
          <t>ref</t>
        </is>
      </c>
      <c r="O3149" t="n">
        <v>80</v>
      </c>
      <c r="P3149" t="n">
        <v>0.0045</v>
      </c>
      <c r="Q3149" t="n">
        <v>75</v>
      </c>
      <c r="R3149" t="n">
        <v>0.1719</v>
      </c>
      <c r="S3149">
        <f>IMAGE("https://mitra.stanford.edu/kundaje/oak/projects/neuro-variants/variant_position/credible/roussos_2024/variant_figures/roussos_2024.childhood.GLU/rs10006846_count_position.png",4,220,900)</f>
        <v/>
      </c>
      <c r="T3149">
        <f>IMAGE("https://mitra.stanford.edu/kundaje/oak/projects/neuro-variants/variant_position/credible/roussos_2024/variant_figures/roussos_2024.childhood.GLU/rs10006846_profile_position.png",4,220,900)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-0.0033159385079999</v>
      </c>
      <c r="G3150" t="n">
        <v>0.8738622116346083</v>
      </c>
      <c r="H3150" t="n">
        <v>0.01813580719322</v>
      </c>
      <c r="I3150" t="n">
        <v>0.1370925531967037</v>
      </c>
      <c r="J3150" t="n">
        <v>0.0180658720265383</v>
      </c>
      <c r="K3150" t="n">
        <v>0.5096270175394668</v>
      </c>
      <c r="L3150" t="b">
        <v>0</v>
      </c>
      <c r="M3150" t="b">
        <v>0</v>
      </c>
      <c r="N3150" t="inlineStr">
        <is>
          <t>ref</t>
        </is>
      </c>
      <c r="O3150" t="n">
        <v>-90</v>
      </c>
      <c r="P3150" t="n">
        <v>0.002014</v>
      </c>
      <c r="Q3150" t="n">
        <v>45</v>
      </c>
      <c r="R3150" t="n">
        <v>0.03003</v>
      </c>
      <c r="S3150">
        <f>IMAGE("https://mitra.stanford.edu/kundaje/oak/projects/neuro-variants/variant_position/credible/roussos_2024/variant_figures/roussos_2024.childhood.GLU/rs4690706_count_position.png",4,220,900)</f>
        <v/>
      </c>
      <c r="T3150">
        <f>IMAGE("https://mitra.stanford.edu/kundaje/oak/projects/neuro-variants/variant_position/credible/roussos_2024/variant_figures/roussos_2024.childhood.GLU/rs4690706_profile_position.png",4,220,900)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0.00195465878</v>
      </c>
      <c r="G3151" t="n">
        <v>0.8227263905022215</v>
      </c>
      <c r="H3151" t="n">
        <v>0.0299783915376401</v>
      </c>
      <c r="I3151" t="n">
        <v>0.0218937241529922</v>
      </c>
      <c r="J3151" t="n">
        <v>0.0827036995065263</v>
      </c>
      <c r="K3151" t="n">
        <v>0.2725511136215289</v>
      </c>
      <c r="L3151" t="b">
        <v>0</v>
      </c>
      <c r="M3151" t="b">
        <v>0</v>
      </c>
      <c r="N3151" t="inlineStr">
        <is>
          <t>alt</t>
        </is>
      </c>
      <c r="O3151" t="n">
        <v>15</v>
      </c>
      <c r="P3151" t="n">
        <v>0.0004883</v>
      </c>
      <c r="Q3151" t="n">
        <v>-100</v>
      </c>
      <c r="R3151" t="n">
        <v>0.1533</v>
      </c>
      <c r="S3151">
        <f>IMAGE("https://mitra.stanford.edu/kundaje/oak/projects/neuro-variants/variant_position/credible/roussos_2024/variant_figures/roussos_2024.childhood.GLU/rs28390284_count_position.png",4,220,900)</f>
        <v/>
      </c>
      <c r="T3151">
        <f>IMAGE("https://mitra.stanford.edu/kundaje/oak/projects/neuro-variants/variant_position/credible/roussos_2024/variant_figures/roussos_2024.childhood.GLU/rs28390284_profile_position.png",4,220,900)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0.0434109918</v>
      </c>
      <c r="G3152" t="n">
        <v>0.211409345207384</v>
      </c>
      <c r="H3152" t="n">
        <v>0.0121754743904246</v>
      </c>
      <c r="I3152" t="n">
        <v>0.4319223061669818</v>
      </c>
      <c r="J3152" t="n">
        <v>0.0514593013073443</v>
      </c>
      <c r="K3152" t="n">
        <v>0.358413689678301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0.02438</v>
      </c>
      <c r="Q3152" t="n">
        <v>15</v>
      </c>
      <c r="R3152" t="n">
        <v>0.01123</v>
      </c>
      <c r="S3152">
        <f>IMAGE("https://mitra.stanford.edu/kundaje/oak/projects/neuro-variants/variant_position/credible/roussos_2024/variant_figures/roussos_2024.childhood.GLU/rs4690709_count_position.png",4,220,900)</f>
        <v/>
      </c>
      <c r="T3152">
        <f>IMAGE("https://mitra.stanford.edu/kundaje/oak/projects/neuro-variants/variant_position/credible/roussos_2024/variant_figures/roussos_2024.childhood.GLU/rs4690709_profile_position.png",4,220,900)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-0.00308237972</v>
      </c>
      <c r="G3153" t="n">
        <v>0.1975137296517668</v>
      </c>
      <c r="H3153" t="n">
        <v>0.0134343232768905</v>
      </c>
      <c r="I3153" t="n">
        <v>0.3407733934221417</v>
      </c>
      <c r="J3153" t="n">
        <v>0.019367035140676</v>
      </c>
      <c r="K3153" t="n">
        <v>0.5169163952083851</v>
      </c>
      <c r="L3153" t="b">
        <v>0</v>
      </c>
      <c r="M3153" t="b">
        <v>0</v>
      </c>
      <c r="N3153" t="inlineStr">
        <is>
          <t>ref</t>
        </is>
      </c>
      <c r="O3153" t="n">
        <v>-30</v>
      </c>
      <c r="P3153" t="n">
        <v>0.003235</v>
      </c>
      <c r="Q3153" t="n">
        <v>-30</v>
      </c>
      <c r="R3153" t="n">
        <v>0.006836</v>
      </c>
      <c r="S3153">
        <f>IMAGE("https://mitra.stanford.edu/kundaje/oak/projects/neuro-variants/variant_position/credible/roussos_2024/variant_figures/roussos_2024.childhood.GLU/rs1605954_count_position.png",4,220,900)</f>
        <v/>
      </c>
      <c r="T3153">
        <f>IMAGE("https://mitra.stanford.edu/kundaje/oak/projects/neuro-variants/variant_position/credible/roussos_2024/variant_figures/roussos_2024.childhood.GLU/rs1605954_profile_position.png",4,220,900)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0.008335973808</v>
      </c>
      <c r="G3154" t="n">
        <v>0.6866086611135038</v>
      </c>
      <c r="H3154" t="n">
        <v>0.0058315408636172</v>
      </c>
      <c r="I3154" t="n">
        <v>0.9878784462970868</v>
      </c>
      <c r="J3154" t="n">
        <v>0.1097355434905786</v>
      </c>
      <c r="K3154" t="n">
        <v>0.23874388777678</v>
      </c>
      <c r="L3154" t="b">
        <v>0</v>
      </c>
      <c r="M3154" t="b">
        <v>0</v>
      </c>
      <c r="N3154" t="inlineStr">
        <is>
          <t>alt</t>
        </is>
      </c>
      <c r="O3154" t="n">
        <v>100</v>
      </c>
      <c r="P3154" t="n">
        <v>0.02464</v>
      </c>
      <c r="Q3154" t="n">
        <v>55</v>
      </c>
      <c r="R3154" t="n">
        <v>0.0931</v>
      </c>
      <c r="S3154">
        <f>IMAGE("https://mitra.stanford.edu/kundaje/oak/projects/neuro-variants/variant_position/credible/roussos_2024/variant_figures/roussos_2024.childhood.GLU/rs28849788_count_position.png",4,220,900)</f>
        <v/>
      </c>
      <c r="T3154">
        <f>IMAGE("https://mitra.stanford.edu/kundaje/oak/projects/neuro-variants/variant_position/credible/roussos_2024/variant_figures/roussos_2024.childhood.GLU/rs28849788_profile_position.png",4,220,900)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0.0729580126</v>
      </c>
      <c r="G3155" t="n">
        <v>0.1044867720012701</v>
      </c>
      <c r="H3155" t="n">
        <v>0.0322865937209179</v>
      </c>
      <c r="I3155" t="n">
        <v>0.0169037159487236</v>
      </c>
      <c r="J3155" t="n">
        <v>0.0181256245685969</v>
      </c>
      <c r="K3155" t="n">
        <v>0.515641744233735</v>
      </c>
      <c r="L3155" t="b">
        <v>1</v>
      </c>
      <c r="M3155" t="b">
        <v>0</v>
      </c>
      <c r="N3155" t="inlineStr">
        <is>
          <t>alt</t>
        </is>
      </c>
      <c r="O3155" t="n">
        <v>100</v>
      </c>
      <c r="P3155" t="n">
        <v>0.04736</v>
      </c>
      <c r="Q3155" t="n">
        <v>-45</v>
      </c>
      <c r="R3155" t="n">
        <v>0.08325</v>
      </c>
      <c r="S3155">
        <f>IMAGE("https://mitra.stanford.edu/kundaje/oak/projects/neuro-variants/variant_position/credible/roussos_2024/variant_figures/roussos_2024.childhood.GLU/rs1510139_count_position.png",4,220,900)</f>
        <v/>
      </c>
      <c r="T3155">
        <f>IMAGE("https://mitra.stanford.edu/kundaje/oak/projects/neuro-variants/variant_position/credible/roussos_2024/variant_figures/roussos_2024.childhood.GLU/rs1510139_profile_position.png",4,220,900)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0.009493796759999999</v>
      </c>
      <c r="G3156" t="n">
        <v>0.623333424817773</v>
      </c>
      <c r="H3156" t="n">
        <v>0.0148817143089965</v>
      </c>
      <c r="I3156" t="n">
        <v>0.2514870615898976</v>
      </c>
      <c r="J3156" t="n">
        <v>0.0160291345153347</v>
      </c>
      <c r="K3156" t="n">
        <v>0.5294045229531978</v>
      </c>
      <c r="L3156" t="b">
        <v>0</v>
      </c>
      <c r="M3156" t="b">
        <v>0</v>
      </c>
      <c r="N3156" t="inlineStr">
        <is>
          <t>alt</t>
        </is>
      </c>
      <c r="O3156" t="n">
        <v>-85</v>
      </c>
      <c r="P3156" t="n">
        <v>0.03108</v>
      </c>
      <c r="Q3156" t="n">
        <v>100</v>
      </c>
      <c r="R3156" t="n">
        <v>0.09827</v>
      </c>
      <c r="S3156">
        <f>IMAGE("https://mitra.stanford.edu/kundaje/oak/projects/neuro-variants/variant_position/credible/roussos_2024/variant_figures/roussos_2024.childhood.GLU/rs2083619_count_position.png",4,220,900)</f>
        <v/>
      </c>
      <c r="T3156">
        <f>IMAGE("https://mitra.stanford.edu/kundaje/oak/projects/neuro-variants/variant_position/credible/roussos_2024/variant_figures/roussos_2024.childhood.GLU/rs2083619_profile_position.png",4,220,900)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0.0495852784</v>
      </c>
      <c r="G3157" t="n">
        <v>0.1735222912977913</v>
      </c>
      <c r="H3157" t="n">
        <v>0.0153870632763862</v>
      </c>
      <c r="I3157" t="n">
        <v>0.2332961208585062</v>
      </c>
      <c r="J3157" t="n">
        <v>0.0494740746082602</v>
      </c>
      <c r="K3157" t="n">
        <v>0.3690002388290321</v>
      </c>
      <c r="L3157" t="b">
        <v>0</v>
      </c>
      <c r="M3157" t="b">
        <v>0</v>
      </c>
      <c r="N3157" t="inlineStr">
        <is>
          <t>alt</t>
        </is>
      </c>
      <c r="O3157" t="n">
        <v>-50</v>
      </c>
      <c r="P3157" t="n">
        <v>0.0356</v>
      </c>
      <c r="Q3157" t="n">
        <v>-70</v>
      </c>
      <c r="R3157" t="n">
        <v>0.5444</v>
      </c>
      <c r="S3157">
        <f>IMAGE("https://mitra.stanford.edu/kundaje/oak/projects/neuro-variants/variant_position/credible/roussos_2024/variant_figures/roussos_2024.childhood.GLU/rs10017013_count_position.png",4,220,900)</f>
        <v/>
      </c>
      <c r="T3157">
        <f>IMAGE("https://mitra.stanford.edu/kundaje/oak/projects/neuro-variants/variant_position/credible/roussos_2024/variant_figures/roussos_2024.childhood.GLU/rs10017013_profile_position.png",4,220,900)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-0.0541880864</v>
      </c>
      <c r="G3158" t="n">
        <v>0.1597182579916712</v>
      </c>
      <c r="H3158" t="n">
        <v>0.014161803352161</v>
      </c>
      <c r="I3158" t="n">
        <v>0.2939713387725342</v>
      </c>
      <c r="J3158" t="n">
        <v>0.0046349428745093</v>
      </c>
      <c r="K3158" t="n">
        <v>0.7072370499294733</v>
      </c>
      <c r="L3158" t="b">
        <v>0</v>
      </c>
      <c r="M3158" t="b">
        <v>0</v>
      </c>
      <c r="N3158" t="inlineStr">
        <is>
          <t>ref</t>
        </is>
      </c>
      <c r="O3158" t="n">
        <v>100</v>
      </c>
      <c r="P3158" t="n">
        <v>0.003063</v>
      </c>
      <c r="Q3158" t="n">
        <v>100</v>
      </c>
      <c r="R3158" t="n">
        <v>0.1079</v>
      </c>
      <c r="S3158">
        <f>IMAGE("https://mitra.stanford.edu/kundaje/oak/projects/neuro-variants/variant_position/credible/roussos_2024/variant_figures/roussos_2024.childhood.GLU/rs1876939_count_position.png",4,220,900)</f>
        <v/>
      </c>
      <c r="T3158">
        <f>IMAGE("https://mitra.stanford.edu/kundaje/oak/projects/neuro-variants/variant_position/credible/roussos_2024/variant_figures/roussos_2024.childhood.GLU/rs1876939_profile_position.png",4,220,900)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0.00375010432</v>
      </c>
      <c r="G3159" t="n">
        <v>0.8358221877882261</v>
      </c>
      <c r="H3159" t="n">
        <v>0.0220698057145568</v>
      </c>
      <c r="I3159" t="n">
        <v>0.07010100398907031</v>
      </c>
      <c r="J3159" t="n">
        <v>0.0210112602635292</v>
      </c>
      <c r="K3159" t="n">
        <v>0.4806129405476595</v>
      </c>
      <c r="L3159" t="b">
        <v>0</v>
      </c>
      <c r="M3159" t="b">
        <v>0</v>
      </c>
      <c r="N3159" t="inlineStr">
        <is>
          <t>alt</t>
        </is>
      </c>
      <c r="O3159" t="n">
        <v>5</v>
      </c>
      <c r="P3159" t="n">
        <v>0.0002441</v>
      </c>
      <c r="Q3159" t="n">
        <v>-50</v>
      </c>
      <c r="R3159" t="n">
        <v>0.08749999999999999</v>
      </c>
      <c r="S3159">
        <f>IMAGE("https://mitra.stanford.edu/kundaje/oak/projects/neuro-variants/variant_position/credible/roussos_2024/variant_figures/roussos_2024.childhood.GLU/rs2010483_count_position.png",4,220,900)</f>
        <v/>
      </c>
      <c r="T3159">
        <f>IMAGE("https://mitra.stanford.edu/kundaje/oak/projects/neuro-variants/variant_position/credible/roussos_2024/variant_figures/roussos_2024.childhood.GLU/rs2010483_profile_position.png",4,220,900)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0.0453239412</v>
      </c>
      <c r="G3160" t="n">
        <v>0.1962277277642295</v>
      </c>
      <c r="H3160" t="n">
        <v>0.0088763473856264</v>
      </c>
      <c r="I3160" t="n">
        <v>0.7905401800326551</v>
      </c>
      <c r="J3160" t="n">
        <v>0.0048131702844426</v>
      </c>
      <c r="K3160" t="n">
        <v>0.6848690046748638</v>
      </c>
      <c r="L3160" t="b">
        <v>0</v>
      </c>
      <c r="M3160" t="b">
        <v>0</v>
      </c>
      <c r="N3160" t="inlineStr">
        <is>
          <t>alt</t>
        </is>
      </c>
      <c r="O3160" t="n">
        <v>-90</v>
      </c>
      <c r="P3160" t="n">
        <v>0.003155</v>
      </c>
      <c r="Q3160" t="n">
        <v>-40</v>
      </c>
      <c r="R3160" t="n">
        <v>0.02548</v>
      </c>
      <c r="S3160">
        <f>IMAGE("https://mitra.stanford.edu/kundaje/oak/projects/neuro-variants/variant_position/credible/roussos_2024/variant_figures/roussos_2024.childhood.GLU/rs4690738_count_position.png",4,220,900)</f>
        <v/>
      </c>
      <c r="T3160">
        <f>IMAGE("https://mitra.stanford.edu/kundaje/oak/projects/neuro-variants/variant_position/credible/roussos_2024/variant_figures/roussos_2024.childhood.GLU/rs4690738_profile_position.png",4,220,900)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-0.02161180208</v>
      </c>
      <c r="G3161" t="n">
        <v>0.4608568856775845</v>
      </c>
      <c r="H3161" t="n">
        <v>0.0103693586191975</v>
      </c>
      <c r="I3161" t="n">
        <v>0.6246132737960857</v>
      </c>
      <c r="J3161" t="n">
        <v>0.0255812995147681</v>
      </c>
      <c r="K3161" t="n">
        <v>0.4607095077798696</v>
      </c>
      <c r="L3161" t="b">
        <v>0</v>
      </c>
      <c r="M3161" t="b">
        <v>0</v>
      </c>
      <c r="N3161" t="inlineStr">
        <is>
          <t>ref</t>
        </is>
      </c>
      <c r="O3161" t="n">
        <v>-95</v>
      </c>
      <c r="P3161" t="n">
        <v>0.003624</v>
      </c>
      <c r="Q3161" t="n">
        <v>-100</v>
      </c>
      <c r="R3161" t="n">
        <v>0.04947</v>
      </c>
      <c r="S3161">
        <f>IMAGE("https://mitra.stanford.edu/kundaje/oak/projects/neuro-variants/variant_position/credible/roussos_2024/variant_figures/roussos_2024.childhood.GLU/rs13115045_count_position.png",4,220,900)</f>
        <v/>
      </c>
      <c r="T3161">
        <f>IMAGE("https://mitra.stanford.edu/kundaje/oak/projects/neuro-variants/variant_position/credible/roussos_2024/variant_figures/roussos_2024.childhood.GLU/rs13115045_profile_position.png",4,220,900)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0.049657143</v>
      </c>
      <c r="G3162" t="n">
        <v>0.1730420891814745</v>
      </c>
      <c r="H3162" t="n">
        <v>0.024894924802288</v>
      </c>
      <c r="I3162" t="n">
        <v>0.0442019242919119</v>
      </c>
      <c r="J3162" t="n">
        <v>0.0065696889777163</v>
      </c>
      <c r="K3162" t="n">
        <v>0.6410933408332926</v>
      </c>
      <c r="L3162" t="b">
        <v>0</v>
      </c>
      <c r="M3162" t="b">
        <v>0</v>
      </c>
      <c r="N3162" t="inlineStr">
        <is>
          <t>alt</t>
        </is>
      </c>
      <c r="O3162" t="n">
        <v>-30</v>
      </c>
      <c r="P3162" t="n">
        <v>0.0006332</v>
      </c>
      <c r="Q3162" t="n">
        <v>35</v>
      </c>
      <c r="R3162" t="n">
        <v>0.04407</v>
      </c>
      <c r="S3162">
        <f>IMAGE("https://mitra.stanford.edu/kundaje/oak/projects/neuro-variants/variant_position/credible/roussos_2024/variant_figures/roussos_2024.childhood.GLU/rs10009395_count_position.png",4,220,900)</f>
        <v/>
      </c>
      <c r="T3162">
        <f>IMAGE("https://mitra.stanford.edu/kundaje/oak/projects/neuro-variants/variant_position/credible/roussos_2024/variant_figures/roussos_2024.childhood.GLU/rs10009395_profile_position.png",4,220,900)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0.076532274</v>
      </c>
      <c r="G3163" t="n">
        <v>0.076287990382697</v>
      </c>
      <c r="H3163" t="n">
        <v>0.011614456220494</v>
      </c>
      <c r="I3163" t="n">
        <v>0.4871966397286361</v>
      </c>
      <c r="J3163" t="n">
        <v>0.1006212203941607</v>
      </c>
      <c r="K3163" t="n">
        <v>0.2524100942945315</v>
      </c>
      <c r="L3163" t="b">
        <v>0</v>
      </c>
      <c r="M3163" t="b">
        <v>0</v>
      </c>
      <c r="N3163" t="inlineStr">
        <is>
          <t>alt</t>
        </is>
      </c>
      <c r="O3163" t="n">
        <v>-75</v>
      </c>
      <c r="P3163" t="n">
        <v>0.011444</v>
      </c>
      <c r="Q3163" t="n">
        <v>15</v>
      </c>
      <c r="R3163" t="n">
        <v>0.04346</v>
      </c>
      <c r="S3163">
        <f>IMAGE("https://mitra.stanford.edu/kundaje/oak/projects/neuro-variants/variant_position/credible/roussos_2024/variant_figures/roussos_2024.childhood.GLU/rs34596213_count_position.png",4,220,900)</f>
        <v/>
      </c>
      <c r="T3163">
        <f>IMAGE("https://mitra.stanford.edu/kundaje/oak/projects/neuro-variants/variant_position/credible/roussos_2024/variant_figures/roussos_2024.childhood.GLU/rs34596213_profile_position.png",4,220,900)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0.0033330224</v>
      </c>
      <c r="G3164" t="n">
        <v>0.6492232014227228</v>
      </c>
      <c r="H3164" t="n">
        <v>0.0246115640634673</v>
      </c>
      <c r="I3164" t="n">
        <v>0.0461339086430487</v>
      </c>
      <c r="J3164" t="n">
        <v>0.1773362728836783</v>
      </c>
      <c r="K3164" t="n">
        <v>0.1634505562407978</v>
      </c>
      <c r="L3164" t="b">
        <v>0</v>
      </c>
      <c r="M3164" t="b">
        <v>0</v>
      </c>
      <c r="N3164" t="inlineStr">
        <is>
          <t>alt</t>
        </is>
      </c>
      <c r="O3164" t="n">
        <v>45</v>
      </c>
      <c r="P3164" t="n">
        <v>0.008030000000000001</v>
      </c>
      <c r="Q3164" t="n">
        <v>-100</v>
      </c>
      <c r="R3164" t="n">
        <v>0.1685</v>
      </c>
      <c r="S3164">
        <f>IMAGE("https://mitra.stanford.edu/kundaje/oak/projects/neuro-variants/variant_position/credible/roussos_2024/variant_figures/roussos_2024.childhood.GLU/rs4690740_count_position.png",4,220,900)</f>
        <v/>
      </c>
      <c r="T3164">
        <f>IMAGE("https://mitra.stanford.edu/kundaje/oak/projects/neuro-variants/variant_position/credible/roussos_2024/variant_figures/roussos_2024.childhood.GLU/rs4690740_profile_position.png",4,220,900)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-0.07908813419999999</v>
      </c>
      <c r="G3165" t="n">
        <v>0.07443924288290819</v>
      </c>
      <c r="H3165" t="n">
        <v>0.0117116773136034</v>
      </c>
      <c r="I3165" t="n">
        <v>0.4740317442838012</v>
      </c>
      <c r="J3165" t="n">
        <v>0.0215449122770869</v>
      </c>
      <c r="K3165" t="n">
        <v>0.4892978593491867</v>
      </c>
      <c r="L3165" t="b">
        <v>0</v>
      </c>
      <c r="M3165" t="b">
        <v>0</v>
      </c>
      <c r="N3165" t="inlineStr">
        <is>
          <t>ref</t>
        </is>
      </c>
      <c r="O3165" t="n">
        <v>-45</v>
      </c>
      <c r="P3165" t="n">
        <v>0.03003</v>
      </c>
      <c r="Q3165" t="n">
        <v>-85</v>
      </c>
      <c r="R3165" t="n">
        <v>0.04285</v>
      </c>
      <c r="S3165">
        <f>IMAGE("https://mitra.stanford.edu/kundaje/oak/projects/neuro-variants/variant_position/credible/roussos_2024/variant_figures/roussos_2024.childhood.GLU/rs17678304_count_position.png",4,220,900)</f>
        <v/>
      </c>
      <c r="T3165">
        <f>IMAGE("https://mitra.stanford.edu/kundaje/oak/projects/neuro-variants/variant_position/credible/roussos_2024/variant_figures/roussos_2024.childhood.GLU/rs17678304_profile_position.png",4,220,900)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-0.0558532131999999</v>
      </c>
      <c r="G3166" t="n">
        <v>0.160615811573409</v>
      </c>
      <c r="H3166" t="n">
        <v>0.0119657013977452</v>
      </c>
      <c r="I3166" t="n">
        <v>0.4576990864861541</v>
      </c>
      <c r="J3166" t="n">
        <v>0.0027754025569966</v>
      </c>
      <c r="K3166" t="n">
        <v>0.7460343250057034</v>
      </c>
      <c r="L3166" t="b">
        <v>0</v>
      </c>
      <c r="M3166" t="b">
        <v>0</v>
      </c>
      <c r="N3166" t="inlineStr">
        <is>
          <t>ref</t>
        </is>
      </c>
      <c r="O3166" t="n">
        <v>10</v>
      </c>
      <c r="P3166" t="n">
        <v>0.000349</v>
      </c>
      <c r="Q3166" t="n">
        <v>100</v>
      </c>
      <c r="R3166" t="n">
        <v>0.0434</v>
      </c>
      <c r="S3166">
        <f>IMAGE("https://mitra.stanford.edu/kundaje/oak/projects/neuro-variants/variant_position/credible/roussos_2024/variant_figures/roussos_2024.childhood.GLU/rs10026166_count_position.png",4,220,900)</f>
        <v/>
      </c>
      <c r="T3166">
        <f>IMAGE("https://mitra.stanford.edu/kundaje/oak/projects/neuro-variants/variant_position/credible/roussos_2024/variant_figures/roussos_2024.childhood.GLU/rs10026166_profile_position.png",4,220,900)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-0.0609109256</v>
      </c>
      <c r="G3167" t="n">
        <v>0.1363051624188879</v>
      </c>
      <c r="H3167" t="n">
        <v>0.0503747043253148</v>
      </c>
      <c r="I3167" t="n">
        <v>0.0027226985956757</v>
      </c>
      <c r="J3167" t="n">
        <v>0.0860488116455643</v>
      </c>
      <c r="K3167" t="n">
        <v>0.2695504174346836</v>
      </c>
      <c r="L3167" t="b">
        <v>1</v>
      </c>
      <c r="M3167" t="b">
        <v>1</v>
      </c>
      <c r="N3167" t="inlineStr">
        <is>
          <t>ref</t>
        </is>
      </c>
      <c r="O3167" t="n">
        <v>-85</v>
      </c>
      <c r="P3167" t="n">
        <v>0.0725</v>
      </c>
      <c r="Q3167" t="n">
        <v>-100</v>
      </c>
      <c r="R3167" t="n">
        <v>0.09950000000000001</v>
      </c>
      <c r="S3167">
        <f>IMAGE("https://mitra.stanford.edu/kundaje/oak/projects/neuro-variants/variant_position/credible/roussos_2024/variant_figures/roussos_2024.childhood.GLU/rs7666854_count_position.png",4,220,900)</f>
        <v/>
      </c>
      <c r="T3167">
        <f>IMAGE("https://mitra.stanford.edu/kundaje/oak/projects/neuro-variants/variant_position/credible/roussos_2024/variant_figures/roussos_2024.childhood.GLU/rs7666854_profile_position.png",4,220,900)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-0.0076738756399999</v>
      </c>
      <c r="G3168" t="n">
        <v>0.6352679670104447</v>
      </c>
      <c r="H3168" t="n">
        <v>0.0117682265788994</v>
      </c>
      <c r="I3168" t="n">
        <v>0.4571795553820522</v>
      </c>
      <c r="J3168" t="n">
        <v>0.0046648191455386</v>
      </c>
      <c r="K3168" t="n">
        <v>0.6786915051238168</v>
      </c>
      <c r="L3168" t="b">
        <v>0</v>
      </c>
      <c r="M3168" t="b">
        <v>0</v>
      </c>
      <c r="N3168" t="inlineStr">
        <is>
          <t>ref</t>
        </is>
      </c>
      <c r="O3168" t="n">
        <v>-100</v>
      </c>
      <c r="P3168" t="n">
        <v>0.03613</v>
      </c>
      <c r="Q3168" t="n">
        <v>80</v>
      </c>
      <c r="R3168" t="n">
        <v>0.07630000000000001</v>
      </c>
      <c r="S3168">
        <f>IMAGE("https://mitra.stanford.edu/kundaje/oak/projects/neuro-variants/variant_position/credible/roussos_2024/variant_figures/roussos_2024.childhood.GLU/rs11936467_count_position.png",4,220,900)</f>
        <v/>
      </c>
      <c r="T3168">
        <f>IMAGE("https://mitra.stanford.edu/kundaje/oak/projects/neuro-variants/variant_position/credible/roussos_2024/variant_figures/roussos_2024.childhood.GLU/rs11936467_profile_position.png",4,220,900)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0.0167080751</v>
      </c>
      <c r="G3169" t="n">
        <v>0.499624008017523</v>
      </c>
      <c r="H3169" t="n">
        <v>0.008499474605392901</v>
      </c>
      <c r="I3169" t="n">
        <v>0.8077086945647443</v>
      </c>
      <c r="J3169" t="n">
        <v>0.003549094955031</v>
      </c>
      <c r="K3169" t="n">
        <v>0.7096701229472067</v>
      </c>
      <c r="L3169" t="b">
        <v>0</v>
      </c>
      <c r="M3169" t="b">
        <v>0</v>
      </c>
      <c r="N3169" t="inlineStr">
        <is>
          <t>alt</t>
        </is>
      </c>
      <c r="O3169" t="n">
        <v>30</v>
      </c>
      <c r="P3169" t="n">
        <v>0.0003471</v>
      </c>
      <c r="Q3169" t="n">
        <v>5</v>
      </c>
      <c r="R3169" t="n">
        <v>0.002205</v>
      </c>
      <c r="S3169">
        <f>IMAGE("https://mitra.stanford.edu/kundaje/oak/projects/neuro-variants/variant_position/credible/roussos_2024/variant_figures/roussos_2024.childhood.GLU/rs6820975_count_position.png",4,220,900)</f>
        <v/>
      </c>
      <c r="T3169">
        <f>IMAGE("https://mitra.stanford.edu/kundaje/oak/projects/neuro-variants/variant_position/credible/roussos_2024/variant_figures/roussos_2024.childhood.GLU/rs6820975_profile_position.png",4,220,900)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-0.0272981014</v>
      </c>
      <c r="G3170" t="n">
        <v>0.3680090399023291</v>
      </c>
      <c r="H3170" t="n">
        <v>0.0123431285292578</v>
      </c>
      <c r="I3170" t="n">
        <v>0.4185027145243577</v>
      </c>
      <c r="J3170" t="n">
        <v>0.0034120761947932</v>
      </c>
      <c r="K3170" t="n">
        <v>0.7143600632010072</v>
      </c>
      <c r="L3170" t="b">
        <v>0</v>
      </c>
      <c r="M3170" t="b">
        <v>0</v>
      </c>
      <c r="N3170" t="inlineStr">
        <is>
          <t>ref</t>
        </is>
      </c>
      <c r="O3170" t="n">
        <v>25</v>
      </c>
      <c r="P3170" t="n">
        <v>0.001583</v>
      </c>
      <c r="Q3170" t="n">
        <v>100</v>
      </c>
      <c r="R3170" t="n">
        <v>0.001359</v>
      </c>
      <c r="S3170">
        <f>IMAGE("https://mitra.stanford.edu/kundaje/oak/projects/neuro-variants/variant_position/credible/roussos_2024/variant_figures/roussos_2024.childhood.GLU/rs6815888_count_position.png",4,220,900)</f>
        <v/>
      </c>
      <c r="T3170">
        <f>IMAGE("https://mitra.stanford.edu/kundaje/oak/projects/neuro-variants/variant_position/credible/roussos_2024/variant_figures/roussos_2024.childhood.GLU/rs6815888_profile_position.png",4,220,900)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0.0106452718</v>
      </c>
      <c r="G3171" t="n">
        <v>0.5361121680455114</v>
      </c>
      <c r="H3171" t="n">
        <v>0.0117507252350703</v>
      </c>
      <c r="I3171" t="n">
        <v>0.4791012838758569</v>
      </c>
      <c r="J3171" t="n">
        <v>0.0183337282495595</v>
      </c>
      <c r="K3171" t="n">
        <v>0.5052870866438688</v>
      </c>
      <c r="L3171" t="b">
        <v>0</v>
      </c>
      <c r="M3171" t="b">
        <v>0</v>
      </c>
      <c r="N3171" t="inlineStr">
        <is>
          <t>alt</t>
        </is>
      </c>
      <c r="O3171" t="n">
        <v>25</v>
      </c>
      <c r="P3171" t="n">
        <v>0.001736</v>
      </c>
      <c r="Q3171" t="n">
        <v>25</v>
      </c>
      <c r="R3171" t="n">
        <v>0.06859999999999999</v>
      </c>
      <c r="S3171">
        <f>IMAGE("https://mitra.stanford.edu/kundaje/oak/projects/neuro-variants/variant_position/credible/roussos_2024/variant_figures/roussos_2024.childhood.GLU/rs13101590_count_position.png",4,220,900)</f>
        <v/>
      </c>
      <c r="T3171">
        <f>IMAGE("https://mitra.stanford.edu/kundaje/oak/projects/neuro-variants/variant_position/credible/roussos_2024/variant_figures/roussos_2024.childhood.GLU/rs13101590_profile_position.png",4,220,900)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0.0345597026</v>
      </c>
      <c r="G3172" t="n">
        <v>0.2909321369768116</v>
      </c>
      <c r="H3172" t="n">
        <v>0.0142885129831947</v>
      </c>
      <c r="I3172" t="n">
        <v>0.2876212550837185</v>
      </c>
      <c r="J3172" t="n">
        <v>0.0199460166688987</v>
      </c>
      <c r="K3172" t="n">
        <v>0.4919042557515868</v>
      </c>
      <c r="L3172" t="b">
        <v>0</v>
      </c>
      <c r="M3172" t="b">
        <v>0</v>
      </c>
      <c r="N3172" t="inlineStr">
        <is>
          <t>alt</t>
        </is>
      </c>
      <c r="O3172" t="n">
        <v>15</v>
      </c>
      <c r="P3172" t="n">
        <v>0.0009345999999999999</v>
      </c>
      <c r="Q3172" t="n">
        <v>20</v>
      </c>
      <c r="R3172" t="n">
        <v>0.0437</v>
      </c>
      <c r="S3172">
        <f>IMAGE("https://mitra.stanford.edu/kundaje/oak/projects/neuro-variants/variant_position/credible/roussos_2024/variant_figures/roussos_2024.childhood.GLU/rs13128465_count_position.png",4,220,900)</f>
        <v/>
      </c>
      <c r="T3172">
        <f>IMAGE("https://mitra.stanford.edu/kundaje/oak/projects/neuro-variants/variant_position/credible/roussos_2024/variant_figures/roussos_2024.childhood.GLU/rs13128465_profile_position.png",4,220,900)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0.0038298883059999</v>
      </c>
      <c r="G3173" t="n">
        <v>0.824070894100122</v>
      </c>
      <c r="H3173" t="n">
        <v>0.0212860721850526</v>
      </c>
      <c r="I3173" t="n">
        <v>0.0787256227662473</v>
      </c>
      <c r="J3173" t="n">
        <v>0.0902500334820278</v>
      </c>
      <c r="K3173" t="n">
        <v>0.2594446089481224</v>
      </c>
      <c r="L3173" t="b">
        <v>0</v>
      </c>
      <c r="M3173" t="b">
        <v>0</v>
      </c>
      <c r="N3173" t="inlineStr">
        <is>
          <t>alt</t>
        </is>
      </c>
      <c r="O3173" t="n">
        <v>60</v>
      </c>
      <c r="P3173" t="n">
        <v>0.003656</v>
      </c>
      <c r="Q3173" t="n">
        <v>-20</v>
      </c>
      <c r="R3173" t="n">
        <v>0.05273</v>
      </c>
      <c r="S3173">
        <f>IMAGE("https://mitra.stanford.edu/kundaje/oak/projects/neuro-variants/variant_position/credible/roussos_2024/variant_figures/roussos_2024.childhood.GLU/rs13147901_count_position.png",4,220,900)</f>
        <v/>
      </c>
      <c r="T3173">
        <f>IMAGE("https://mitra.stanford.edu/kundaje/oak/projects/neuro-variants/variant_position/credible/roussos_2024/variant_figures/roussos_2024.childhood.GLU/rs13147901_profile_position.png",4,220,900)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0.0042317942599999</v>
      </c>
      <c r="G3174" t="n">
        <v>0.7662363647723239</v>
      </c>
      <c r="H3174" t="n">
        <v>0.0286672733084109</v>
      </c>
      <c r="I3174" t="n">
        <v>0.025826989617956</v>
      </c>
      <c r="J3174" t="n">
        <v>0.0003626361173209</v>
      </c>
      <c r="K3174" t="n">
        <v>0.8831897565435852</v>
      </c>
      <c r="L3174" t="b">
        <v>0</v>
      </c>
      <c r="M3174" t="b">
        <v>0</v>
      </c>
      <c r="N3174" t="inlineStr">
        <is>
          <t>alt</t>
        </is>
      </c>
      <c r="O3174" t="n">
        <v>5</v>
      </c>
      <c r="P3174" t="n">
        <v>0.000801</v>
      </c>
      <c r="Q3174" t="n">
        <v>-90</v>
      </c>
      <c r="R3174" t="n">
        <v>0.0863</v>
      </c>
      <c r="S3174">
        <f>IMAGE("https://mitra.stanford.edu/kundaje/oak/projects/neuro-variants/variant_position/credible/roussos_2024/variant_figures/roussos_2024.childhood.GLU/rs4690743_count_position.png",4,220,900)</f>
        <v/>
      </c>
      <c r="T3174">
        <f>IMAGE("https://mitra.stanford.edu/kundaje/oak/projects/neuro-variants/variant_position/credible/roussos_2024/variant_figures/roussos_2024.childhood.GLU/rs4690743_profile_position.png",4,220,900)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0.111685105</v>
      </c>
      <c r="G3175" t="n">
        <v>0.0359507228725295</v>
      </c>
      <c r="H3175" t="n">
        <v>0.019808183729636</v>
      </c>
      <c r="I3175" t="n">
        <v>0.1064776211682927</v>
      </c>
      <c r="J3175" t="n">
        <v>0.0010466997022674</v>
      </c>
      <c r="K3175" t="n">
        <v>0.8167018685119635</v>
      </c>
      <c r="L3175" t="b">
        <v>0</v>
      </c>
      <c r="M3175" t="b">
        <v>0</v>
      </c>
      <c r="N3175" t="inlineStr">
        <is>
          <t>alt</t>
        </is>
      </c>
      <c r="O3175" t="n">
        <v>80</v>
      </c>
      <c r="P3175" t="n">
        <v>0.3032</v>
      </c>
      <c r="Q3175" t="n">
        <v>75</v>
      </c>
      <c r="R3175" t="n">
        <v>0.0674</v>
      </c>
      <c r="S3175">
        <f>IMAGE("https://mitra.stanford.edu/kundaje/oak/projects/neuro-variants/variant_position/credible/roussos_2024/variant_figures/roussos_2024.childhood.GLU/rs13110491_count_position.png",4,220,900)</f>
        <v/>
      </c>
      <c r="T3175">
        <f>IMAGE("https://mitra.stanford.edu/kundaje/oak/projects/neuro-variants/variant_position/credible/roussos_2024/variant_figures/roussos_2024.childhood.GLU/rs13110491_profile_position.png",4,220,900)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0.138504723</v>
      </c>
      <c r="G3176" t="n">
        <v>0.0226934639450295</v>
      </c>
      <c r="H3176" t="n">
        <v>0.0231009248925548</v>
      </c>
      <c r="I3176" t="n">
        <v>0.0648762497563057</v>
      </c>
      <c r="J3176" t="n">
        <v>0.0030638631048656</v>
      </c>
      <c r="K3176" t="n">
        <v>0.7249331459164097</v>
      </c>
      <c r="L3176" t="b">
        <v>0</v>
      </c>
      <c r="M3176" t="b">
        <v>0</v>
      </c>
      <c r="N3176" t="inlineStr">
        <is>
          <t>alt</t>
        </is>
      </c>
      <c r="O3176" t="n">
        <v>-100</v>
      </c>
      <c r="P3176" t="n">
        <v>0.03897</v>
      </c>
      <c r="Q3176" t="n">
        <v>-40</v>
      </c>
      <c r="R3176" t="n">
        <v>0.0825</v>
      </c>
      <c r="S3176">
        <f>IMAGE("https://mitra.stanford.edu/kundaje/oak/projects/neuro-variants/variant_position/credible/roussos_2024/variant_figures/roussos_2024.childhood.GLU/rs9308158_count_position.png",4,220,900)</f>
        <v/>
      </c>
      <c r="T3176">
        <f>IMAGE("https://mitra.stanford.edu/kundaje/oak/projects/neuro-variants/variant_position/credible/roussos_2024/variant_figures/roussos_2024.childhood.GLU/rs9308158_profile_position.png",4,220,900)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-0.189146902</v>
      </c>
      <c r="G3177" t="n">
        <v>0.009337913059316</v>
      </c>
      <c r="H3177" t="n">
        <v>0.0426507705198713</v>
      </c>
      <c r="I3177" t="n">
        <v>0.0055081935345499</v>
      </c>
      <c r="J3177" t="n">
        <v>0.1071157035861826</v>
      </c>
      <c r="K3177" t="n">
        <v>0.2349847242737316</v>
      </c>
      <c r="L3177" t="b">
        <v>1</v>
      </c>
      <c r="M3177" t="b">
        <v>1</v>
      </c>
      <c r="N3177" t="inlineStr">
        <is>
          <t>ref</t>
        </is>
      </c>
      <c r="O3177" t="n">
        <v>-90</v>
      </c>
      <c r="P3177" t="n">
        <v>0.004517</v>
      </c>
      <c r="Q3177" t="n">
        <v>-80</v>
      </c>
      <c r="R3177" t="n">
        <v>0.04706</v>
      </c>
      <c r="S3177">
        <f>IMAGE("https://mitra.stanford.edu/kundaje/oak/projects/neuro-variants/variant_position/credible/roussos_2024/variant_figures/roussos_2024.childhood.GLU/rs1510140_count_position.png",4,220,900)</f>
        <v/>
      </c>
      <c r="T3177">
        <f>IMAGE("https://mitra.stanford.edu/kundaje/oak/projects/neuro-variants/variant_position/credible/roussos_2024/variant_figures/roussos_2024.childhood.GLU/rs1510140_profile_position.png",4,220,900)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0.1328373839999999</v>
      </c>
      <c r="G3178" t="n">
        <v>0.0231200108276297</v>
      </c>
      <c r="H3178" t="n">
        <v>0.01986794697177</v>
      </c>
      <c r="I3178" t="n">
        <v>0.1032019261508405</v>
      </c>
      <c r="J3178" t="n">
        <v>0.009730392409366601</v>
      </c>
      <c r="K3178" t="n">
        <v>0.595397420954846</v>
      </c>
      <c r="L3178" t="b">
        <v>0</v>
      </c>
      <c r="M3178" t="b">
        <v>0</v>
      </c>
      <c r="N3178" t="inlineStr">
        <is>
          <t>alt</t>
        </is>
      </c>
      <c r="O3178" t="n">
        <v>100</v>
      </c>
      <c r="P3178" t="n">
        <v>0.0155</v>
      </c>
      <c r="Q3178" t="n">
        <v>45</v>
      </c>
      <c r="R3178" t="n">
        <v>0.0901</v>
      </c>
      <c r="S3178">
        <f>IMAGE("https://mitra.stanford.edu/kundaje/oak/projects/neuro-variants/variant_position/credible/roussos_2024/variant_figures/roussos_2024.childhood.GLU/rs2341895_count_position.png",4,220,900)</f>
        <v/>
      </c>
      <c r="T3178">
        <f>IMAGE("https://mitra.stanford.edu/kundaje/oak/projects/neuro-variants/variant_position/credible/roussos_2024/variant_figures/roussos_2024.childhood.GLU/rs2341895_profile_position.png",4,220,900)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0.0358314504</v>
      </c>
      <c r="G3179" t="n">
        <v>0.2740063754804515</v>
      </c>
      <c r="H3179" t="n">
        <v>0.0310622774863157</v>
      </c>
      <c r="I3179" t="n">
        <v>0.0194383790091361</v>
      </c>
      <c r="J3179" t="n">
        <v>0.0022077534074401</v>
      </c>
      <c r="K3179" t="n">
        <v>0.7680357591599474</v>
      </c>
      <c r="L3179" t="b">
        <v>0</v>
      </c>
      <c r="M3179" t="b">
        <v>0</v>
      </c>
      <c r="N3179" t="inlineStr">
        <is>
          <t>alt</t>
        </is>
      </c>
      <c r="O3179" t="n">
        <v>-100</v>
      </c>
      <c r="P3179" t="n">
        <v>0.013245</v>
      </c>
      <c r="Q3179" t="n">
        <v>-70</v>
      </c>
      <c r="R3179" t="n">
        <v>0.05197</v>
      </c>
      <c r="S3179">
        <f>IMAGE("https://mitra.stanford.edu/kundaje/oak/projects/neuro-variants/variant_position/credible/roussos_2024/variant_figures/roussos_2024.childhood.GLU/rs12651028_count_position.png",4,220,900)</f>
        <v/>
      </c>
      <c r="T3179">
        <f>IMAGE("https://mitra.stanford.edu/kundaje/oak/projects/neuro-variants/variant_position/credible/roussos_2024/variant_figures/roussos_2024.childhood.GLU/rs12651028_profile_position.png",4,220,900)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-0.0284408574</v>
      </c>
      <c r="G3180" t="n">
        <v>0.3611327380580053</v>
      </c>
      <c r="H3180" t="n">
        <v>0.0116783069898097</v>
      </c>
      <c r="I3180" t="n">
        <v>0.4789919944840046</v>
      </c>
      <c r="J3180" t="n">
        <v>0.0064110356763884</v>
      </c>
      <c r="K3180" t="n">
        <v>0.6428472859081357</v>
      </c>
      <c r="L3180" t="b">
        <v>0</v>
      </c>
      <c r="M3180" t="b">
        <v>0</v>
      </c>
      <c r="N3180" t="inlineStr">
        <is>
          <t>ref</t>
        </is>
      </c>
      <c r="O3180" t="n">
        <v>55</v>
      </c>
      <c r="P3180" t="n">
        <v>0.0006713999999999999</v>
      </c>
      <c r="Q3180" t="n">
        <v>-45</v>
      </c>
      <c r="R3180" t="n">
        <v>0.0398</v>
      </c>
      <c r="S3180">
        <f>IMAGE("https://mitra.stanford.edu/kundaje/oak/projects/neuro-variants/variant_position/credible/roussos_2024/variant_figures/roussos_2024.childhood.GLU/rs982012_count_position.png",4,220,900)</f>
        <v/>
      </c>
      <c r="T3180">
        <f>IMAGE("https://mitra.stanford.edu/kundaje/oak/projects/neuro-variants/variant_position/credible/roussos_2024/variant_figures/roussos_2024.childhood.GLU/rs982012_profile_position.png",4,220,900)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0.07593569679999999</v>
      </c>
      <c r="G3181" t="n">
        <v>0.0852618628380674</v>
      </c>
      <c r="H3181" t="n">
        <v>0.023553783344152</v>
      </c>
      <c r="I3181" t="n">
        <v>0.0561446042099287</v>
      </c>
      <c r="J3181" t="n">
        <v>0.0067973667672843</v>
      </c>
      <c r="K3181" t="n">
        <v>0.6571893965429731</v>
      </c>
      <c r="L3181" t="b">
        <v>0</v>
      </c>
      <c r="M3181" t="b">
        <v>0</v>
      </c>
      <c r="N3181" t="inlineStr">
        <is>
          <t>alt</t>
        </is>
      </c>
      <c r="O3181" t="n">
        <v>100</v>
      </c>
      <c r="P3181" t="n">
        <v>0.01157</v>
      </c>
      <c r="Q3181" t="n">
        <v>5</v>
      </c>
      <c r="R3181" t="n">
        <v>0.006332</v>
      </c>
      <c r="S3181">
        <f>IMAGE("https://mitra.stanford.edu/kundaje/oak/projects/neuro-variants/variant_position/credible/roussos_2024/variant_figures/roussos_2024.childhood.GLU/rs877367_count_position.png",4,220,900)</f>
        <v/>
      </c>
      <c r="T3181">
        <f>IMAGE("https://mitra.stanford.edu/kundaje/oak/projects/neuro-variants/variant_position/credible/roussos_2024/variant_figures/roussos_2024.childhood.GLU/rs877367_profile_position.png",4,220,900)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0.1533118348</v>
      </c>
      <c r="G3182" t="n">
        <v>0.0156584456512807</v>
      </c>
      <c r="H3182" t="n">
        <v>0.017109667605722</v>
      </c>
      <c r="I3182" t="n">
        <v>0.168588599901156</v>
      </c>
      <c r="J3182" t="n">
        <v>0.125419555564713</v>
      </c>
      <c r="K3182" t="n">
        <v>0.2123021725570137</v>
      </c>
      <c r="L3182" t="b">
        <v>1</v>
      </c>
      <c r="M3182" t="b">
        <v>0</v>
      </c>
      <c r="N3182" t="inlineStr">
        <is>
          <t>alt</t>
        </is>
      </c>
      <c r="O3182" t="n">
        <v>30</v>
      </c>
      <c r="P3182" t="n">
        <v>0.007652</v>
      </c>
      <c r="Q3182" t="n">
        <v>45</v>
      </c>
      <c r="R3182" t="n">
        <v>0.11426</v>
      </c>
      <c r="S3182">
        <f>IMAGE("https://mitra.stanford.edu/kundaje/oak/projects/neuro-variants/variant_position/credible/roussos_2024/variant_figures/roussos_2024.childhood.GLU/rs1037027_count_position.png",4,220,900)</f>
        <v/>
      </c>
      <c r="T3182">
        <f>IMAGE("https://mitra.stanford.edu/kundaje/oak/projects/neuro-variants/variant_position/credible/roussos_2024/variant_figures/roussos_2024.childhood.GLU/rs1037027_profile_position.png",4,220,900)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-0.00981237284</v>
      </c>
      <c r="G3183" t="n">
        <v>0.6742261853030204</v>
      </c>
      <c r="H3183" t="n">
        <v>0.0104607109977896</v>
      </c>
      <c r="I3183" t="n">
        <v>0.6077700932087138</v>
      </c>
      <c r="J3183" t="n">
        <v>0.0181843468944131</v>
      </c>
      <c r="K3183" t="n">
        <v>0.5028895668802397</v>
      </c>
      <c r="L3183" t="b">
        <v>0</v>
      </c>
      <c r="M3183" t="b">
        <v>0</v>
      </c>
      <c r="N3183" t="inlineStr">
        <is>
          <t>ref</t>
        </is>
      </c>
      <c r="O3183" t="n">
        <v>-100</v>
      </c>
      <c r="P3183" t="n">
        <v>0.0829</v>
      </c>
      <c r="Q3183" t="n">
        <v>-85</v>
      </c>
      <c r="R3183" t="n">
        <v>0.09393</v>
      </c>
      <c r="S3183">
        <f>IMAGE("https://mitra.stanford.edu/kundaje/oak/projects/neuro-variants/variant_position/credible/roussos_2024/variant_figures/roussos_2024.childhood.GLU/rs1955154_count_position.png",4,220,900)</f>
        <v/>
      </c>
      <c r="T3183">
        <f>IMAGE("https://mitra.stanford.edu/kundaje/oak/projects/neuro-variants/variant_position/credible/roussos_2024/variant_figures/roussos_2024.childhood.GLU/rs1955154_profile_position.png",4,220,900)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0.00267876988</v>
      </c>
      <c r="G3184" t="n">
        <v>0.7317100430427168</v>
      </c>
      <c r="H3184" t="n">
        <v>0.0302763048510868</v>
      </c>
      <c r="I3184" t="n">
        <v>0.0202254817979918</v>
      </c>
      <c r="J3184" t="n">
        <v>0.0017276726384867</v>
      </c>
      <c r="K3184" t="n">
        <v>0.7817096903925076</v>
      </c>
      <c r="L3184" t="b">
        <v>0</v>
      </c>
      <c r="M3184" t="b">
        <v>0</v>
      </c>
      <c r="N3184" t="inlineStr">
        <is>
          <t>alt</t>
        </is>
      </c>
      <c r="O3184" t="n">
        <v>-45</v>
      </c>
      <c r="P3184" t="n">
        <v>0.002796</v>
      </c>
      <c r="Q3184" t="n">
        <v>-100</v>
      </c>
      <c r="R3184" t="n">
        <v>0.1061</v>
      </c>
      <c r="S3184">
        <f>IMAGE("https://mitra.stanford.edu/kundaje/oak/projects/neuro-variants/variant_position/credible/roussos_2024/variant_figures/roussos_2024.childhood.GLU/rs1899932_count_position.png",4,220,900)</f>
        <v/>
      </c>
      <c r="T3184">
        <f>IMAGE("https://mitra.stanford.edu/kundaje/oak/projects/neuro-variants/variant_position/credible/roussos_2024/variant_figures/roussos_2024.childhood.GLU/rs1899932_profile_position.png",4,220,900)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-0.0008007618</v>
      </c>
      <c r="G3185" t="n">
        <v>0.5295766488845859</v>
      </c>
      <c r="H3185" t="n">
        <v>0.0223633835761642</v>
      </c>
      <c r="I3185" t="n">
        <v>0.0669777266797161</v>
      </c>
      <c r="J3185" t="n">
        <v>0.0543356650560952</v>
      </c>
      <c r="K3185" t="n">
        <v>0.3349816814395571</v>
      </c>
      <c r="L3185" t="b">
        <v>0</v>
      </c>
      <c r="M3185" t="b">
        <v>0</v>
      </c>
      <c r="N3185" t="inlineStr">
        <is>
          <t>ref</t>
        </is>
      </c>
      <c r="O3185" t="n">
        <v>-20</v>
      </c>
      <c r="P3185" t="n">
        <v>0.00386</v>
      </c>
      <c r="Q3185" t="n">
        <v>-50</v>
      </c>
      <c r="R3185" t="n">
        <v>0.01904</v>
      </c>
      <c r="S3185">
        <f>IMAGE("https://mitra.stanford.edu/kundaje/oak/projects/neuro-variants/variant_position/credible/roussos_2024/variant_figures/roussos_2024.childhood.GLU/rs1020356_count_position.png",4,220,900)</f>
        <v/>
      </c>
      <c r="T3185">
        <f>IMAGE("https://mitra.stanford.edu/kundaje/oak/projects/neuro-variants/variant_position/credible/roussos_2024/variant_figures/roussos_2024.childhood.GLU/rs1020356_profile_position.png",4,220,900)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0.0217979532</v>
      </c>
      <c r="G3186" t="n">
        <v>0.4293216078399703</v>
      </c>
      <c r="H3186" t="n">
        <v>0.0263800203939473</v>
      </c>
      <c r="I3186" t="n">
        <v>0.0361480566330786</v>
      </c>
      <c r="J3186" t="n">
        <v>0.2245758084621961</v>
      </c>
      <c r="K3186" t="n">
        <v>0.1324825937828948</v>
      </c>
      <c r="L3186" t="b">
        <v>0</v>
      </c>
      <c r="M3186" t="b">
        <v>0</v>
      </c>
      <c r="N3186" t="inlineStr">
        <is>
          <t>alt</t>
        </is>
      </c>
      <c r="O3186" t="n">
        <v>90</v>
      </c>
      <c r="P3186" t="n">
        <v>0.00885</v>
      </c>
      <c r="Q3186" t="n">
        <v>85</v>
      </c>
      <c r="R3186" t="n">
        <v>0.34</v>
      </c>
      <c r="S3186">
        <f>IMAGE("https://mitra.stanford.edu/kundaje/oak/projects/neuro-variants/variant_position/credible/roussos_2024/variant_figures/roussos_2024.childhood.GLU/rs116327309_count_position.png",4,220,900)</f>
        <v/>
      </c>
      <c r="T3186">
        <f>IMAGE("https://mitra.stanford.edu/kundaje/oak/projects/neuro-variants/variant_position/credible/roussos_2024/variant_figures/roussos_2024.childhood.GLU/rs116327309_profile_position.png",4,220,900)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0.0010240401399999</v>
      </c>
      <c r="G3187" t="n">
        <v>0.8016820638871153</v>
      </c>
      <c r="H3187" t="n">
        <v>0.0147749274048201</v>
      </c>
      <c r="I3187" t="n">
        <v>0.2628858574509311</v>
      </c>
      <c r="J3187" t="n">
        <v>0.0450863836319243</v>
      </c>
      <c r="K3187" t="n">
        <v>0.36796360475198</v>
      </c>
      <c r="L3187" t="b">
        <v>0</v>
      </c>
      <c r="M3187" t="b">
        <v>0</v>
      </c>
      <c r="N3187" t="inlineStr">
        <is>
          <t>alt</t>
        </is>
      </c>
      <c r="O3187" t="n">
        <v>-75</v>
      </c>
      <c r="P3187" t="n">
        <v>0.0527</v>
      </c>
      <c r="Q3187" t="n">
        <v>-100</v>
      </c>
      <c r="R3187" t="n">
        <v>0.4946</v>
      </c>
      <c r="S3187">
        <f>IMAGE("https://mitra.stanford.edu/kundaje/oak/projects/neuro-variants/variant_position/credible/roussos_2024/variant_figures/roussos_2024.childhood.GLU/rs17311826_count_position.png",4,220,900)</f>
        <v/>
      </c>
      <c r="T3187">
        <f>IMAGE("https://mitra.stanford.edu/kundaje/oak/projects/neuro-variants/variant_position/credible/roussos_2024/variant_figures/roussos_2024.childhood.GLU/rs17311826_profile_position.png",4,220,900)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-0.264425674</v>
      </c>
      <c r="G3188" t="n">
        <v>0.0035207818079174</v>
      </c>
      <c r="H3188" t="n">
        <v>0.0534832507415611</v>
      </c>
      <c r="I3188" t="n">
        <v>0.0023723117609151</v>
      </c>
      <c r="J3188" t="n">
        <v>0.0471148794131887</v>
      </c>
      <c r="K3188" t="n">
        <v>0.3599733154330668</v>
      </c>
      <c r="L3188" t="b">
        <v>1</v>
      </c>
      <c r="M3188" t="b">
        <v>1</v>
      </c>
      <c r="N3188" t="inlineStr">
        <is>
          <t>ref</t>
        </is>
      </c>
      <c r="O3188" t="n">
        <v>25</v>
      </c>
      <c r="P3188" t="n">
        <v>0.02393</v>
      </c>
      <c r="Q3188" t="n">
        <v>30</v>
      </c>
      <c r="R3188" t="n">
        <v>0.05762</v>
      </c>
      <c r="S3188">
        <f>IMAGE("https://mitra.stanford.edu/kundaje/oak/projects/neuro-variants/variant_position/credible/roussos_2024/variant_figures/roussos_2024.childhood.GLU/rs7657567_count_position.png",4,220,900)</f>
        <v/>
      </c>
      <c r="T3188">
        <f>IMAGE("https://mitra.stanford.edu/kundaje/oak/projects/neuro-variants/variant_position/credible/roussos_2024/variant_figures/roussos_2024.childhood.GLU/rs7657567_profile_position.png",4,220,900)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-0.01729670868</v>
      </c>
      <c r="G3189" t="n">
        <v>0.5286681880817178</v>
      </c>
      <c r="H3189" t="n">
        <v>0.0269323366830247</v>
      </c>
      <c r="I3189" t="n">
        <v>0.0324213425476522</v>
      </c>
      <c r="J3189" t="n">
        <v>0.0359463051294466</v>
      </c>
      <c r="K3189" t="n">
        <v>0.3973915156975721</v>
      </c>
      <c r="L3189" t="b">
        <v>0</v>
      </c>
      <c r="M3189" t="b">
        <v>0</v>
      </c>
      <c r="N3189" t="inlineStr">
        <is>
          <t>ref</t>
        </is>
      </c>
      <c r="O3189" t="n">
        <v>-95</v>
      </c>
      <c r="P3189" t="n">
        <v>0.02501</v>
      </c>
      <c r="Q3189" t="n">
        <v>25</v>
      </c>
      <c r="R3189" t="n">
        <v>0.04166</v>
      </c>
      <c r="S3189">
        <f>IMAGE("https://mitra.stanford.edu/kundaje/oak/projects/neuro-variants/variant_position/credible/roussos_2024/variant_figures/roussos_2024.childhood.GLU/rs13112591_count_position.png",4,220,900)</f>
        <v/>
      </c>
      <c r="T3189">
        <f>IMAGE("https://mitra.stanford.edu/kundaje/oak/projects/neuro-variants/variant_position/credible/roussos_2024/variant_figures/roussos_2024.childhood.GLU/rs13112591_profile_position.png",4,220,900)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0.1577434919999999</v>
      </c>
      <c r="G3190" t="n">
        <v>0.0145089968002592</v>
      </c>
      <c r="H3190" t="n">
        <v>0.0339159190435757</v>
      </c>
      <c r="I3190" t="n">
        <v>0.0128470755005774</v>
      </c>
      <c r="J3190" t="n">
        <v>0.2229604293941297</v>
      </c>
      <c r="K3190" t="n">
        <v>0.1339199335399454</v>
      </c>
      <c r="L3190" t="b">
        <v>1</v>
      </c>
      <c r="M3190" t="b">
        <v>0</v>
      </c>
      <c r="N3190" t="inlineStr">
        <is>
          <t>alt</t>
        </is>
      </c>
      <c r="O3190" t="n">
        <v>-60</v>
      </c>
      <c r="P3190" t="n">
        <v>0.005226</v>
      </c>
      <c r="Q3190" t="n">
        <v>-60</v>
      </c>
      <c r="R3190" t="n">
        <v>0.09669999999999999</v>
      </c>
      <c r="S3190">
        <f>IMAGE("https://mitra.stanford.edu/kundaje/oak/projects/neuro-variants/variant_position/credible/roussos_2024/variant_figures/roussos_2024.childhood.GLU/rs4692712_count_position.png",4,220,900)</f>
        <v/>
      </c>
      <c r="T3190">
        <f>IMAGE("https://mitra.stanford.edu/kundaje/oak/projects/neuro-variants/variant_position/credible/roussos_2024/variant_figures/roussos_2024.childhood.GLU/rs4692712_profile_position.png",4,220,900)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-0.1111262127999999</v>
      </c>
      <c r="G3191" t="n">
        <v>0.0360546067190707</v>
      </c>
      <c r="H3191" t="n">
        <v>0.024255284774246</v>
      </c>
      <c r="I3191" t="n">
        <v>0.0485328202026923</v>
      </c>
      <c r="J3191" t="n">
        <v>0.1545643730619056</v>
      </c>
      <c r="K3191" t="n">
        <v>0.1816165603682583</v>
      </c>
      <c r="L3191" t="b">
        <v>0</v>
      </c>
      <c r="M3191" t="b">
        <v>0</v>
      </c>
      <c r="N3191" t="inlineStr">
        <is>
          <t>ref</t>
        </is>
      </c>
      <c r="O3191" t="n">
        <v>-20</v>
      </c>
      <c r="P3191" t="n">
        <v>0.002125</v>
      </c>
      <c r="Q3191" t="n">
        <v>100</v>
      </c>
      <c r="R3191" t="n">
        <v>0.1449</v>
      </c>
      <c r="S3191">
        <f>IMAGE("https://mitra.stanford.edu/kundaje/oak/projects/neuro-variants/variant_position/credible/roussos_2024/variant_figures/roussos_2024.childhood.GLU/rs6839248_count_position.png",4,220,900)</f>
        <v/>
      </c>
      <c r="T3191">
        <f>IMAGE("https://mitra.stanford.edu/kundaje/oak/projects/neuro-variants/variant_position/credible/roussos_2024/variant_figures/roussos_2024.childhood.GLU/rs6839248_profile_position.png",4,220,900)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0.000383359754</v>
      </c>
      <c r="G3192" t="n">
        <v>0.8729425698136277</v>
      </c>
      <c r="H3192" t="n">
        <v>0.0244148146015313</v>
      </c>
      <c r="I3192" t="n">
        <v>0.0472168176042102</v>
      </c>
      <c r="J3192" t="n">
        <v>0.0045278003853008</v>
      </c>
      <c r="K3192" t="n">
        <v>0.6857725966112682</v>
      </c>
      <c r="L3192" t="b">
        <v>0</v>
      </c>
      <c r="M3192" t="b">
        <v>0</v>
      </c>
      <c r="N3192" t="inlineStr">
        <is>
          <t>alt</t>
        </is>
      </c>
      <c r="O3192" t="n">
        <v>-90</v>
      </c>
      <c r="P3192" t="n">
        <v>0.001556</v>
      </c>
      <c r="Q3192" t="n">
        <v>100</v>
      </c>
      <c r="R3192" t="n">
        <v>0.1818</v>
      </c>
      <c r="S3192">
        <f>IMAGE("https://mitra.stanford.edu/kundaje/oak/projects/neuro-variants/variant_position/credible/roussos_2024/variant_figures/roussos_2024.childhood.GLU/rs12641082_count_position.png",4,220,900)</f>
        <v/>
      </c>
      <c r="T3192">
        <f>IMAGE("https://mitra.stanford.edu/kundaje/oak/projects/neuro-variants/variant_position/credible/roussos_2024/variant_figures/roussos_2024.childhood.GLU/rs12641082_profile_position.png",4,220,900)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0.0303058823999999</v>
      </c>
      <c r="G3193" t="n">
        <v>0.3254521639707328</v>
      </c>
      <c r="H3193" t="n">
        <v>0.0112621910146582</v>
      </c>
      <c r="I3193" t="n">
        <v>0.5259274415516961</v>
      </c>
      <c r="J3193" t="n">
        <v>0.0271513490681693</v>
      </c>
      <c r="K3193" t="n">
        <v>0.4413927857427162</v>
      </c>
      <c r="L3193" t="b">
        <v>0</v>
      </c>
      <c r="M3193" t="b">
        <v>0</v>
      </c>
      <c r="N3193" t="inlineStr">
        <is>
          <t>alt</t>
        </is>
      </c>
      <c r="O3193" t="n">
        <v>100</v>
      </c>
      <c r="P3193" t="n">
        <v>0.002144</v>
      </c>
      <c r="Q3193" t="n">
        <v>40</v>
      </c>
      <c r="R3193" t="n">
        <v>0.0257</v>
      </c>
      <c r="S3193">
        <f>IMAGE("https://mitra.stanford.edu/kundaje/oak/projects/neuro-variants/variant_position/credible/roussos_2024/variant_figures/roussos_2024.childhood.GLU/rs12500131_count_position.png",4,220,900)</f>
        <v/>
      </c>
      <c r="T3193">
        <f>IMAGE("https://mitra.stanford.edu/kundaje/oak/projects/neuro-variants/variant_position/credible/roussos_2024/variant_figures/roussos_2024.childhood.GLU/rs12500131_profile_position.png",4,220,900)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0.033273056</v>
      </c>
      <c r="G3194" t="n">
        <v>0.3055813484322727</v>
      </c>
      <c r="H3194" t="n">
        <v>0.024680741689297</v>
      </c>
      <c r="I3194" t="n">
        <v>0.0455596325604967</v>
      </c>
      <c r="J3194" t="n">
        <v>0.06646234044525939</v>
      </c>
      <c r="K3194" t="n">
        <v>0.3106731125372267</v>
      </c>
      <c r="L3194" t="b">
        <v>0</v>
      </c>
      <c r="M3194" t="b">
        <v>0</v>
      </c>
      <c r="N3194" t="inlineStr">
        <is>
          <t>alt</t>
        </is>
      </c>
      <c r="O3194" t="n">
        <v>-100</v>
      </c>
      <c r="P3194" t="n">
        <v>0.00839</v>
      </c>
      <c r="Q3194" t="n">
        <v>-60</v>
      </c>
      <c r="R3194" t="n">
        <v>0.05273</v>
      </c>
      <c r="S3194">
        <f>IMAGE("https://mitra.stanford.edu/kundaje/oak/projects/neuro-variants/variant_position/credible/roussos_2024/variant_figures/roussos_2024.childhood.GLU/rs6553440_count_position.png",4,220,900)</f>
        <v/>
      </c>
      <c r="T3194">
        <f>IMAGE("https://mitra.stanford.edu/kundaje/oak/projects/neuro-variants/variant_position/credible/roussos_2024/variant_figures/roussos_2024.childhood.GLU/rs6553440_profile_position.png",4,220,900)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-0.0053965418</v>
      </c>
      <c r="G3195" t="n">
        <v>0.7024201229721325</v>
      </c>
      <c r="H3195" t="n">
        <v>0.0426007142714972</v>
      </c>
      <c r="I3195" t="n">
        <v>0.0067526564863827</v>
      </c>
      <c r="J3195" t="n">
        <v>0.4140758445197646</v>
      </c>
      <c r="K3195" t="n">
        <v>0.0608499081924699</v>
      </c>
      <c r="L3195" t="b">
        <v>1</v>
      </c>
      <c r="M3195" t="b">
        <v>1</v>
      </c>
      <c r="N3195" t="inlineStr">
        <is>
          <t>ref</t>
        </is>
      </c>
      <c r="O3195" t="n">
        <v>25</v>
      </c>
      <c r="P3195" t="n">
        <v>0.005127</v>
      </c>
      <c r="Q3195" t="n">
        <v>-5</v>
      </c>
      <c r="R3195" t="n">
        <v>0.008965000000000001</v>
      </c>
      <c r="S3195">
        <f>IMAGE("https://mitra.stanford.edu/kundaje/oak/projects/neuro-variants/variant_position/credible/roussos_2024/variant_figures/roussos_2024.childhood.GLU/rs75394761_count_position.png",4,220,900)</f>
        <v/>
      </c>
      <c r="T3195">
        <f>IMAGE("https://mitra.stanford.edu/kundaje/oak/projects/neuro-variants/variant_position/credible/roussos_2024/variant_figures/roussos_2024.childhood.GLU/rs75394761_profile_position.png",4,220,900)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0.0312734836</v>
      </c>
      <c r="G3196" t="n">
        <v>0.3195938623077183</v>
      </c>
      <c r="H3196" t="n">
        <v>0.0152238904697634</v>
      </c>
      <c r="I3196" t="n">
        <v>0.2446951829171501</v>
      </c>
      <c r="J3196" t="n">
        <v>0.0113097139089494</v>
      </c>
      <c r="K3196" t="n">
        <v>0.5750311292741688</v>
      </c>
      <c r="L3196" t="b">
        <v>0</v>
      </c>
      <c r="M3196" t="b">
        <v>0</v>
      </c>
      <c r="N3196" t="inlineStr">
        <is>
          <t>alt</t>
        </is>
      </c>
      <c r="O3196" t="n">
        <v>15</v>
      </c>
      <c r="P3196" t="n">
        <v>0.002163</v>
      </c>
      <c r="Q3196" t="n">
        <v>30</v>
      </c>
      <c r="R3196" t="n">
        <v>0.03268</v>
      </c>
      <c r="S3196">
        <f>IMAGE("https://mitra.stanford.edu/kundaje/oak/projects/neuro-variants/variant_position/credible/roussos_2024/variant_figures/roussos_2024.childhood.GLU/rs4235024_count_position.png",4,220,900)</f>
        <v/>
      </c>
      <c r="T3196">
        <f>IMAGE("https://mitra.stanford.edu/kundaje/oak/projects/neuro-variants/variant_position/credible/roussos_2024/variant_figures/roussos_2024.childhood.GLU/rs4235024_profile_position.png",4,220,900)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-0.006889827304</v>
      </c>
      <c r="G3197" t="n">
        <v>0.7705851481015987</v>
      </c>
      <c r="H3197" t="n">
        <v>0.008529270081229501</v>
      </c>
      <c r="I3197" t="n">
        <v>0.8056855344405213</v>
      </c>
      <c r="J3197" t="n">
        <v>0.0303512007170304</v>
      </c>
      <c r="K3197" t="n">
        <v>0.4267809734664621</v>
      </c>
      <c r="L3197" t="b">
        <v>0</v>
      </c>
      <c r="M3197" t="b">
        <v>0</v>
      </c>
      <c r="N3197" t="inlineStr">
        <is>
          <t>ref</t>
        </is>
      </c>
      <c r="O3197" t="n">
        <v>-45</v>
      </c>
      <c r="P3197" t="n">
        <v>0.007088</v>
      </c>
      <c r="Q3197" t="n">
        <v>-40</v>
      </c>
      <c r="R3197" t="n">
        <v>0.1139</v>
      </c>
      <c r="S3197">
        <f>IMAGE("https://mitra.stanford.edu/kundaje/oak/projects/neuro-variants/variant_position/credible/roussos_2024/variant_figures/roussos_2024.childhood.GLU/rs4692574_count_position.png",4,220,900)</f>
        <v/>
      </c>
      <c r="T3197">
        <f>IMAGE("https://mitra.stanford.edu/kundaje/oak/projects/neuro-variants/variant_position/credible/roussos_2024/variant_figures/roussos_2024.childhood.GLU/rs4692574_profile_position.png",4,220,900)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0.0318649815999999</v>
      </c>
      <c r="G3198" t="n">
        <v>0.2513916357534736</v>
      </c>
      <c r="H3198" t="n">
        <v>0.0256772587719245</v>
      </c>
      <c r="I3198" t="n">
        <v>0.0396176307661745</v>
      </c>
      <c r="J3198" t="n">
        <v>0.2455644039683929</v>
      </c>
      <c r="K3198" t="n">
        <v>0.1225439230728835</v>
      </c>
      <c r="L3198" t="b">
        <v>0</v>
      </c>
      <c r="M3198" t="b">
        <v>0</v>
      </c>
      <c r="N3198" t="inlineStr">
        <is>
          <t>alt</t>
        </is>
      </c>
      <c r="O3198" t="n">
        <v>100</v>
      </c>
      <c r="P3198" t="n">
        <v>0.02368</v>
      </c>
      <c r="Q3198" t="n">
        <v>70</v>
      </c>
      <c r="R3198" t="n">
        <v>0.0423</v>
      </c>
      <c r="S3198">
        <f>IMAGE("https://mitra.stanford.edu/kundaje/oak/projects/neuro-variants/variant_position/credible/roussos_2024/variant_figures/roussos_2024.childhood.GLU/rs115477840_count_position.png",4,220,900)</f>
        <v/>
      </c>
      <c r="T3198">
        <f>IMAGE("https://mitra.stanford.edu/kundaje/oak/projects/neuro-variants/variant_position/credible/roussos_2024/variant_figures/roussos_2024.childhood.GLU/rs115477840_profile_position.png",4,220,900)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0.0211599778</v>
      </c>
      <c r="G3199" t="n">
        <v>0.4311784700049605</v>
      </c>
      <c r="H3199" t="n">
        <v>0.0220345311598937</v>
      </c>
      <c r="I3199" t="n">
        <v>0.0703176023867508</v>
      </c>
      <c r="J3199" t="n">
        <v>0.0037675007984175</v>
      </c>
      <c r="K3199" t="n">
        <v>0.7068388137342962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0.002228</v>
      </c>
      <c r="Q3199" t="n">
        <v>20</v>
      </c>
      <c r="R3199" t="n">
        <v>0.009766</v>
      </c>
      <c r="S3199">
        <f>IMAGE("https://mitra.stanford.edu/kundaje/oak/projects/neuro-variants/variant_position/credible/roussos_2024/variant_figures/roussos_2024.childhood.GLU/rs6823311_count_position.png",4,220,900)</f>
        <v/>
      </c>
      <c r="T3199">
        <f>IMAGE("https://mitra.stanford.edu/kundaje/oak/projects/neuro-variants/variant_position/credible/roussos_2024/variant_figures/roussos_2024.childhood.GLU/rs6823311_profile_position.png",4,220,900)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-0.1180490959999999</v>
      </c>
      <c r="G3200" t="n">
        <v>0.0321301549381325</v>
      </c>
      <c r="H3200" t="n">
        <v>0.0146230074006536</v>
      </c>
      <c r="I3200" t="n">
        <v>0.2665403205826121</v>
      </c>
      <c r="J3200" t="n">
        <v>0.0447587748668445</v>
      </c>
      <c r="K3200" t="n">
        <v>0.3678482546258123</v>
      </c>
      <c r="L3200" t="b">
        <v>0</v>
      </c>
      <c r="M3200" t="b">
        <v>0</v>
      </c>
      <c r="N3200" t="inlineStr">
        <is>
          <t>ref</t>
        </is>
      </c>
      <c r="O3200" t="n">
        <v>-20</v>
      </c>
      <c r="P3200" t="n">
        <v>0.002266</v>
      </c>
      <c r="Q3200" t="n">
        <v>-90</v>
      </c>
      <c r="R3200" t="n">
        <v>0.0863</v>
      </c>
      <c r="S3200">
        <f>IMAGE("https://mitra.stanford.edu/kundaje/oak/projects/neuro-variants/variant_position/credible/roussos_2024/variant_figures/roussos_2024.childhood.GLU/rs6850446_count_position.png",4,220,900)</f>
        <v/>
      </c>
      <c r="T3200">
        <f>IMAGE("https://mitra.stanford.edu/kundaje/oak/projects/neuro-variants/variant_position/credible/roussos_2024/variant_figures/roussos_2024.childhood.GLU/rs6850446_profile_position.png",4,220,900)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0.030915403</v>
      </c>
      <c r="G3201" t="n">
        <v>0.3402921815414278</v>
      </c>
      <c r="H3201" t="n">
        <v>0.0228716042197901</v>
      </c>
      <c r="I3201" t="n">
        <v>0.0647897020691327</v>
      </c>
      <c r="J3201" t="n">
        <v>0.0037922259882348</v>
      </c>
      <c r="K3201" t="n">
        <v>0.7236400446750814</v>
      </c>
      <c r="L3201" t="b">
        <v>0</v>
      </c>
      <c r="M3201" t="b">
        <v>0</v>
      </c>
      <c r="N3201" t="inlineStr">
        <is>
          <t>alt</t>
        </is>
      </c>
      <c r="O3201" t="n">
        <v>45</v>
      </c>
      <c r="P3201" t="n">
        <v>0.003311</v>
      </c>
      <c r="Q3201" t="n">
        <v>-15</v>
      </c>
      <c r="R3201" t="n">
        <v>0.0425</v>
      </c>
      <c r="S3201">
        <f>IMAGE("https://mitra.stanford.edu/kundaje/oak/projects/neuro-variants/variant_position/credible/roussos_2024/variant_figures/roussos_2024.childhood.GLU/rs1027407_count_position.png",4,220,900)</f>
        <v/>
      </c>
      <c r="T3201">
        <f>IMAGE("https://mitra.stanford.edu/kundaje/oak/projects/neuro-variants/variant_position/credible/roussos_2024/variant_figures/roussos_2024.childhood.GLU/rs1027407_profile_position.png",4,220,900)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0.00597746514</v>
      </c>
      <c r="G3202" t="n">
        <v>0.7143331542973014</v>
      </c>
      <c r="H3202" t="n">
        <v>0.0252981593657287</v>
      </c>
      <c r="I3202" t="n">
        <v>0.0423347329524777</v>
      </c>
      <c r="J3202" t="n">
        <v>0.0047781429322014</v>
      </c>
      <c r="K3202" t="n">
        <v>0.6776831830592771</v>
      </c>
      <c r="L3202" t="b">
        <v>0</v>
      </c>
      <c r="M3202" t="b">
        <v>0</v>
      </c>
      <c r="N3202" t="inlineStr">
        <is>
          <t>alt</t>
        </is>
      </c>
      <c r="O3202" t="n">
        <v>-100</v>
      </c>
      <c r="P3202" t="n">
        <v>0.002827</v>
      </c>
      <c r="Q3202" t="n">
        <v>-100</v>
      </c>
      <c r="R3202" t="n">
        <v>0.11084</v>
      </c>
      <c r="S3202">
        <f>IMAGE("https://mitra.stanford.edu/kundaje/oak/projects/neuro-variants/variant_position/credible/roussos_2024/variant_figures/roussos_2024.childhood.GLU/rs28376387_count_position.png",4,220,900)</f>
        <v/>
      </c>
      <c r="T3202">
        <f>IMAGE("https://mitra.stanford.edu/kundaje/oak/projects/neuro-variants/variant_position/credible/roussos_2024/variant_figures/roussos_2024.childhood.GLU/rs28376387_profile_position.png",4,220,900)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0.00675564902</v>
      </c>
      <c r="G3203" t="n">
        <v>0.6472947532037104</v>
      </c>
      <c r="H3203" t="n">
        <v>0.009128291530200901</v>
      </c>
      <c r="I3203" t="n">
        <v>0.7488840444635062</v>
      </c>
      <c r="J3203" t="n">
        <v>0.1622920250960676</v>
      </c>
      <c r="K3203" t="n">
        <v>0.1755644755856553</v>
      </c>
      <c r="L3203" t="b">
        <v>0</v>
      </c>
      <c r="M3203" t="b">
        <v>0</v>
      </c>
      <c r="N3203" t="inlineStr">
        <is>
          <t>alt</t>
        </is>
      </c>
      <c r="O3203" t="n">
        <v>-100</v>
      </c>
      <c r="P3203" t="n">
        <v>0.02277</v>
      </c>
      <c r="Q3203" t="n">
        <v>-100</v>
      </c>
      <c r="R3203" t="n">
        <v>0.08057</v>
      </c>
      <c r="S3203">
        <f>IMAGE("https://mitra.stanford.edu/kundaje/oak/projects/neuro-variants/variant_position/credible/roussos_2024/variant_figures/roussos_2024.childhood.GLU/rs17062106_count_position.png",4,220,900)</f>
        <v/>
      </c>
      <c r="T3203">
        <f>IMAGE("https://mitra.stanford.edu/kundaje/oak/projects/neuro-variants/variant_position/credible/roussos_2024/variant_figures/roussos_2024.childhood.GLU/rs17062106_profile_position.png",4,220,900)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-0.07103520000000001</v>
      </c>
      <c r="G3204" t="n">
        <v>0.0986042240740953</v>
      </c>
      <c r="H3204" t="n">
        <v>0.0201826647445184</v>
      </c>
      <c r="I3204" t="n">
        <v>0.09449846182131599</v>
      </c>
      <c r="J3204" t="n">
        <v>0.0177197193690955</v>
      </c>
      <c r="K3204" t="n">
        <v>0.5155757812408092</v>
      </c>
      <c r="L3204" t="b">
        <v>0</v>
      </c>
      <c r="M3204" t="b">
        <v>0</v>
      </c>
      <c r="N3204" t="inlineStr">
        <is>
          <t>ref</t>
        </is>
      </c>
      <c r="O3204" t="n">
        <v>65</v>
      </c>
      <c r="P3204" t="n">
        <v>0.007805</v>
      </c>
      <c r="Q3204" t="n">
        <v>60</v>
      </c>
      <c r="R3204" t="n">
        <v>0.06055</v>
      </c>
      <c r="S3204">
        <f>IMAGE("https://mitra.stanford.edu/kundaje/oak/projects/neuro-variants/variant_position/credible/roussos_2024/variant_figures/roussos_2024.childhood.GLU/rs62334820_count_position.png",4,220,900)</f>
        <v/>
      </c>
      <c r="T3204">
        <f>IMAGE("https://mitra.stanford.edu/kundaje/oak/projects/neuro-variants/variant_position/credible/roussos_2024/variant_figures/roussos_2024.childhood.GLU/rs62334820_profile_position.png",4,220,900)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0.36601179</v>
      </c>
      <c r="G3205" t="n">
        <v>0.0011150918602464</v>
      </c>
      <c r="H3205" t="n">
        <v>0.0482438030993449</v>
      </c>
      <c r="I3205" t="n">
        <v>0.0034713636595756</v>
      </c>
      <c r="J3205" t="n">
        <v>0.0048049285545035</v>
      </c>
      <c r="K3205" t="n">
        <v>0.6793283085835098</v>
      </c>
      <c r="L3205" t="b">
        <v>1</v>
      </c>
      <c r="M3205" t="b">
        <v>1</v>
      </c>
      <c r="N3205" t="inlineStr">
        <is>
          <t>alt</t>
        </is>
      </c>
      <c r="O3205" t="n">
        <v>100</v>
      </c>
      <c r="P3205" t="n">
        <v>0.007860000000000001</v>
      </c>
      <c r="Q3205" t="n">
        <v>0</v>
      </c>
      <c r="R3205" t="n">
        <v>0</v>
      </c>
      <c r="S3205">
        <f>IMAGE("https://mitra.stanford.edu/kundaje/oak/projects/neuro-variants/variant_position/credible/roussos_2024/variant_figures/roussos_2024.childhood.GLU/rs12501338_count_position.png",4,220,900)</f>
        <v/>
      </c>
      <c r="T3205">
        <f>IMAGE("https://mitra.stanford.edu/kundaje/oak/projects/neuro-variants/variant_position/credible/roussos_2024/variant_figures/roussos_2024.childhood.GLU/rs12501338_profile_position.png",4,220,900)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0.0001640743799999</v>
      </c>
      <c r="G3206" t="n">
        <v>0.8281785316993842</v>
      </c>
      <c r="H3206" t="n">
        <v>0.0193388539406232</v>
      </c>
      <c r="I3206" t="n">
        <v>0.1100475282450157</v>
      </c>
      <c r="J3206" t="n">
        <v>9.06590293302404e-05</v>
      </c>
      <c r="K3206" t="n">
        <v>0.9451916366982848</v>
      </c>
      <c r="L3206" t="b">
        <v>0</v>
      </c>
      <c r="M3206" t="b">
        <v>0</v>
      </c>
      <c r="N3206" t="inlineStr">
        <is>
          <t>alt</t>
        </is>
      </c>
      <c r="O3206" t="n">
        <v>55</v>
      </c>
      <c r="P3206" t="n">
        <v>0.0203</v>
      </c>
      <c r="Q3206" t="n">
        <v>-100</v>
      </c>
      <c r="R3206" t="n">
        <v>0.0956</v>
      </c>
      <c r="S3206">
        <f>IMAGE("https://mitra.stanford.edu/kundaje/oak/projects/neuro-variants/variant_position/credible/roussos_2024/variant_figures/roussos_2024.childhood.GLU/rs55875929_count_position.png",4,220,900)</f>
        <v/>
      </c>
      <c r="T3206">
        <f>IMAGE("https://mitra.stanford.edu/kundaje/oak/projects/neuro-variants/variant_position/credible/roussos_2024/variant_figures/roussos_2024.childhood.GLU/rs55875929_profile_position.png",4,220,900)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-0.0300525414</v>
      </c>
      <c r="G3207" t="n">
        <v>0.3548485548644501</v>
      </c>
      <c r="H3207" t="n">
        <v>0.0104300557733283</v>
      </c>
      <c r="I3207" t="n">
        <v>0.5864335142889865</v>
      </c>
      <c r="J3207" t="n">
        <v>0.0002204662758712</v>
      </c>
      <c r="K3207" t="n">
        <v>0.908255951718181</v>
      </c>
      <c r="L3207" t="b">
        <v>0</v>
      </c>
      <c r="M3207" t="b">
        <v>0</v>
      </c>
      <c r="N3207" t="inlineStr">
        <is>
          <t>ref</t>
        </is>
      </c>
      <c r="O3207" t="n">
        <v>-70</v>
      </c>
      <c r="P3207" t="n">
        <v>0.0202</v>
      </c>
      <c r="Q3207" t="n">
        <v>100</v>
      </c>
      <c r="R3207" t="n">
        <v>0.0502</v>
      </c>
      <c r="S3207">
        <f>IMAGE("https://mitra.stanford.edu/kundaje/oak/projects/neuro-variants/variant_position/credible/roussos_2024/variant_figures/roussos_2024.childhood.GLU/rs55903810_count_position.png",4,220,900)</f>
        <v/>
      </c>
      <c r="T3207">
        <f>IMAGE("https://mitra.stanford.edu/kundaje/oak/projects/neuro-variants/variant_position/credible/roussos_2024/variant_figures/roussos_2024.childhood.GLU/rs55903810_profile_position.png",4,220,900)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0.056426546</v>
      </c>
      <c r="G3208" t="n">
        <v>0.1370566910333635</v>
      </c>
      <c r="H3208" t="n">
        <v>0.0148061958127827</v>
      </c>
      <c r="I3208" t="n">
        <v>0.2580312867759486</v>
      </c>
      <c r="J3208" t="n">
        <v>0.0204436111139727</v>
      </c>
      <c r="K3208" t="n">
        <v>0.4956574609355421</v>
      </c>
      <c r="L3208" t="b">
        <v>0</v>
      </c>
      <c r="M3208" t="b">
        <v>0</v>
      </c>
      <c r="N3208" t="inlineStr">
        <is>
          <t>alt</t>
        </is>
      </c>
      <c r="O3208" t="n">
        <v>-100</v>
      </c>
      <c r="P3208" t="n">
        <v>0.01136</v>
      </c>
      <c r="Q3208" t="n">
        <v>-85</v>
      </c>
      <c r="R3208" t="n">
        <v>0.2219</v>
      </c>
      <c r="S3208">
        <f>IMAGE("https://mitra.stanford.edu/kundaje/oak/projects/neuro-variants/variant_position/credible/roussos_2024/variant_figures/roussos_2024.childhood.GLU/rs17324506_count_position.png",4,220,900)</f>
        <v/>
      </c>
      <c r="T3208">
        <f>IMAGE("https://mitra.stanford.edu/kundaje/oak/projects/neuro-variants/variant_position/credible/roussos_2024/variant_figures/roussos_2024.childhood.GLU/rs17324506_profile_position.png",4,220,900)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0.0622521894</v>
      </c>
      <c r="G3209" t="n">
        <v>0.1242092505214691</v>
      </c>
      <c r="H3209" t="n">
        <v>0.0120288036506066</v>
      </c>
      <c r="I3209" t="n">
        <v>0.4522944581997017</v>
      </c>
      <c r="J3209" t="n">
        <v>0.1220146908836164</v>
      </c>
      <c r="K3209" t="n">
        <v>0.2166999419048172</v>
      </c>
      <c r="L3209" t="b">
        <v>0</v>
      </c>
      <c r="M3209" t="b">
        <v>0</v>
      </c>
      <c r="N3209" t="inlineStr">
        <is>
          <t>alt</t>
        </is>
      </c>
      <c r="O3209" t="n">
        <v>50</v>
      </c>
      <c r="P3209" t="n">
        <v>0.01593</v>
      </c>
      <c r="Q3209" t="n">
        <v>70</v>
      </c>
      <c r="R3209" t="n">
        <v>0.07837</v>
      </c>
      <c r="S3209">
        <f>IMAGE("https://mitra.stanford.edu/kundaje/oak/projects/neuro-variants/variant_position/credible/roussos_2024/variant_figures/roussos_2024.childhood.GLU/rs28753071_count_position.png",4,220,900)</f>
        <v/>
      </c>
      <c r="T3209">
        <f>IMAGE("https://mitra.stanford.edu/kundaje/oak/projects/neuro-variants/variant_position/credible/roussos_2024/variant_figures/roussos_2024.childhood.GLU/rs28753071_profile_position.png",4,220,900)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-0.0266594088</v>
      </c>
      <c r="G3210" t="n">
        <v>0.3790911678006495</v>
      </c>
      <c r="H3210" t="n">
        <v>0.0172119018493211</v>
      </c>
      <c r="I3210" t="n">
        <v>0.1622558914643189</v>
      </c>
      <c r="J3210" t="n">
        <v>0.0133608744475465</v>
      </c>
      <c r="K3210" t="n">
        <v>0.5469957911745953</v>
      </c>
      <c r="L3210" t="b">
        <v>0</v>
      </c>
      <c r="M3210" t="b">
        <v>0</v>
      </c>
      <c r="N3210" t="inlineStr">
        <is>
          <t>ref</t>
        </is>
      </c>
      <c r="O3210" t="n">
        <v>25</v>
      </c>
      <c r="P3210" t="n">
        <v>0.001649</v>
      </c>
      <c r="Q3210" t="n">
        <v>-40</v>
      </c>
      <c r="R3210" t="n">
        <v>0.05957</v>
      </c>
      <c r="S3210">
        <f>IMAGE("https://mitra.stanford.edu/kundaje/oak/projects/neuro-variants/variant_position/credible/roussos_2024/variant_figures/roussos_2024.childhood.GLU/rs7694547_count_position.png",4,220,900)</f>
        <v/>
      </c>
      <c r="T3210">
        <f>IMAGE("https://mitra.stanford.edu/kundaje/oak/projects/neuro-variants/variant_position/credible/roussos_2024/variant_figures/roussos_2024.childhood.GLU/rs7694547_profile_position.png",4,220,900)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-0.14478129</v>
      </c>
      <c r="G3211" t="n">
        <v>0.0210376515884125</v>
      </c>
      <c r="H3211" t="n">
        <v>0.0452849759622692</v>
      </c>
      <c r="I3211" t="n">
        <v>0.0040814446576021</v>
      </c>
      <c r="J3211" t="n">
        <v>0.0260407759588737</v>
      </c>
      <c r="K3211" t="n">
        <v>0.4530644893527688</v>
      </c>
      <c r="L3211" t="b">
        <v>1</v>
      </c>
      <c r="M3211" t="b">
        <v>0</v>
      </c>
      <c r="N3211" t="inlineStr">
        <is>
          <t>ref</t>
        </is>
      </c>
      <c r="O3211" t="n">
        <v>50</v>
      </c>
      <c r="P3211" t="n">
        <v>0.009599999999999999</v>
      </c>
      <c r="Q3211" t="n">
        <v>65</v>
      </c>
      <c r="R3211" t="n">
        <v>0.1338</v>
      </c>
      <c r="S3211">
        <f>IMAGE("https://mitra.stanford.edu/kundaje/oak/projects/neuro-variants/variant_position/credible/roussos_2024/variant_figures/roussos_2024.childhood.GLU/rs12501438_count_position.png",4,220,900)</f>
        <v/>
      </c>
      <c r="T3211">
        <f>IMAGE("https://mitra.stanford.edu/kundaje/oak/projects/neuro-variants/variant_position/credible/roussos_2024/variant_figures/roussos_2024.childhood.GLU/rs12501438_profile_position.png",4,220,900)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-0.0053292117699999</v>
      </c>
      <c r="G3212" t="n">
        <v>0.7586060613354786</v>
      </c>
      <c r="H3212" t="n">
        <v>0.008879225754260501</v>
      </c>
      <c r="I3212" t="n">
        <v>0.7866854556782118</v>
      </c>
      <c r="J3212" t="n">
        <v>0.0682425541121081</v>
      </c>
      <c r="K3212" t="n">
        <v>0.3047726922276174</v>
      </c>
      <c r="L3212" t="b">
        <v>0</v>
      </c>
      <c r="M3212" t="b">
        <v>0</v>
      </c>
      <c r="N3212" t="inlineStr">
        <is>
          <t>ref</t>
        </is>
      </c>
      <c r="O3212" t="n">
        <v>-95</v>
      </c>
      <c r="P3212" t="n">
        <v>0.01625</v>
      </c>
      <c r="Q3212" t="n">
        <v>50</v>
      </c>
      <c r="R3212" t="n">
        <v>0.02272</v>
      </c>
      <c r="S3212">
        <f>IMAGE("https://mitra.stanford.edu/kundaje/oak/projects/neuro-variants/variant_position/credible/roussos_2024/variant_figures/roussos_2024.childhood.GLU/rs35751669_count_position.png",4,220,900)</f>
        <v/>
      </c>
      <c r="T3212">
        <f>IMAGE("https://mitra.stanford.edu/kundaje/oak/projects/neuro-variants/variant_position/credible/roussos_2024/variant_figures/roussos_2024.childhood.GLU/rs35751669_profile_position.png",4,220,900)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0.0645596702</v>
      </c>
      <c r="G3213" t="n">
        <v>0.1069337613924817</v>
      </c>
      <c r="H3213" t="n">
        <v>0.0134785901489765</v>
      </c>
      <c r="I3213" t="n">
        <v>0.334465541314467</v>
      </c>
      <c r="J3213" t="n">
        <v>0.4567195854409839</v>
      </c>
      <c r="K3213" t="n">
        <v>0.050897794407462</v>
      </c>
      <c r="L3213" t="b">
        <v>0</v>
      </c>
      <c r="M3213" t="b">
        <v>0</v>
      </c>
      <c r="N3213" t="inlineStr">
        <is>
          <t>alt</t>
        </is>
      </c>
      <c r="O3213" t="n">
        <v>-70</v>
      </c>
      <c r="P3213" t="n">
        <v>0.002182</v>
      </c>
      <c r="Q3213" t="n">
        <v>-10</v>
      </c>
      <c r="R3213" t="n">
        <v>0.02197</v>
      </c>
      <c r="S3213">
        <f>IMAGE("https://mitra.stanford.edu/kundaje/oak/projects/neuro-variants/variant_position/credible/roussos_2024/variant_figures/roussos_2024.childhood.GLU/rs10462767_count_position.png",4,220,900)</f>
        <v/>
      </c>
      <c r="T3213">
        <f>IMAGE("https://mitra.stanford.edu/kundaje/oak/projects/neuro-variants/variant_position/credible/roussos_2024/variant_figures/roussos_2024.childhood.GLU/rs10462767_profile_position.png",4,220,900)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0.02271046002</v>
      </c>
      <c r="G3214" t="n">
        <v>0.4433150511948427</v>
      </c>
      <c r="H3214" t="n">
        <v>0.020258677480814</v>
      </c>
      <c r="I3214" t="n">
        <v>0.1087417839051348</v>
      </c>
      <c r="J3214" t="n">
        <v>0.3979447185964334</v>
      </c>
      <c r="K3214" t="n">
        <v>0.064863038536595</v>
      </c>
      <c r="L3214" t="b">
        <v>0</v>
      </c>
      <c r="M3214" t="b">
        <v>0</v>
      </c>
      <c r="N3214" t="inlineStr">
        <is>
          <t>alt</t>
        </is>
      </c>
      <c r="O3214" t="n">
        <v>-85</v>
      </c>
      <c r="P3214" t="n">
        <v>0.04657</v>
      </c>
      <c r="Q3214" t="n">
        <v>-75</v>
      </c>
      <c r="R3214" t="n">
        <v>0.2793</v>
      </c>
      <c r="S3214">
        <f>IMAGE("https://mitra.stanford.edu/kundaje/oak/projects/neuro-variants/variant_position/credible/roussos_2024/variant_figures/roussos_2024.childhood.GLU/rs13170639_count_position.png",4,220,900)</f>
        <v/>
      </c>
      <c r="T3214">
        <f>IMAGE("https://mitra.stanford.edu/kundaje/oak/projects/neuro-variants/variant_position/credible/roussos_2024/variant_figures/roussos_2024.childhood.GLU/rs13170639_profile_position.png",4,220,900)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-0.0378810016</v>
      </c>
      <c r="G3215" t="n">
        <v>0.2624419347158861</v>
      </c>
      <c r="H3215" t="n">
        <v>0.0123438876282022</v>
      </c>
      <c r="I3215" t="n">
        <v>0.4207190320163039</v>
      </c>
      <c r="J3215" t="n">
        <v>0.3151091514108811</v>
      </c>
      <c r="K3215" t="n">
        <v>0.0916777417531241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0.03436</v>
      </c>
      <c r="Q3215" t="n">
        <v>-35</v>
      </c>
      <c r="R3215" t="n">
        <v>0.1475</v>
      </c>
      <c r="S3215">
        <f>IMAGE("https://mitra.stanford.edu/kundaje/oak/projects/neuro-variants/variant_position/credible/roussos_2024/variant_figures/roussos_2024.childhood.GLU/rs35533030_count_position.png",4,220,900)</f>
        <v/>
      </c>
      <c r="T3215">
        <f>IMAGE("https://mitra.stanford.edu/kundaje/oak/projects/neuro-variants/variant_position/credible/roussos_2024/variant_figures/roussos_2024.childhood.GLU/rs35533030_profile_position.png",4,220,900)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0.0114839878</v>
      </c>
      <c r="G3216" t="n">
        <v>0.4935377222573427</v>
      </c>
      <c r="H3216" t="n">
        <v>0.0135882190626856</v>
      </c>
      <c r="I3216" t="n">
        <v>0.3267618468588403</v>
      </c>
      <c r="J3216" t="n">
        <v>0.0012898307354713</v>
      </c>
      <c r="K3216" t="n">
        <v>0.8045136993975527</v>
      </c>
      <c r="L3216" t="b">
        <v>0</v>
      </c>
      <c r="M3216" t="b">
        <v>0</v>
      </c>
      <c r="N3216" t="inlineStr">
        <is>
          <t>alt</t>
        </is>
      </c>
      <c r="O3216" t="n">
        <v>100</v>
      </c>
      <c r="P3216" t="n">
        <v>0.06635000000000001</v>
      </c>
      <c r="Q3216" t="n">
        <v>25</v>
      </c>
      <c r="R3216" t="n">
        <v>0.015564</v>
      </c>
      <c r="S3216">
        <f>IMAGE("https://mitra.stanford.edu/kundaje/oak/projects/neuro-variants/variant_position/credible/roussos_2024/variant_figures/roussos_2024.childhood.GLU/rs6885115_count_position.png",4,220,900)</f>
        <v/>
      </c>
      <c r="T3216">
        <f>IMAGE("https://mitra.stanford.edu/kundaje/oak/projects/neuro-variants/variant_position/credible/roussos_2024/variant_figures/roussos_2024.childhood.GLU/rs6885115_profile_position.png",4,220,900)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-0.0363942153599999</v>
      </c>
      <c r="G3217" t="n">
        <v>0.2447881963847974</v>
      </c>
      <c r="H3217" t="n">
        <v>0.0175815135452336</v>
      </c>
      <c r="I3217" t="n">
        <v>0.1495687236249239</v>
      </c>
      <c r="J3217" t="n">
        <v>0.1899183038519784</v>
      </c>
      <c r="K3217" t="n">
        <v>0.1571701448075672</v>
      </c>
      <c r="L3217" t="b">
        <v>0</v>
      </c>
      <c r="M3217" t="b">
        <v>0</v>
      </c>
      <c r="N3217" t="inlineStr">
        <is>
          <t>ref</t>
        </is>
      </c>
      <c r="O3217" t="n">
        <v>-85</v>
      </c>
      <c r="P3217" t="n">
        <v>0.02902</v>
      </c>
      <c r="Q3217" t="n">
        <v>-30</v>
      </c>
      <c r="R3217" t="n">
        <v>0.09229999999999999</v>
      </c>
      <c r="S3217">
        <f>IMAGE("https://mitra.stanford.edu/kundaje/oak/projects/neuro-variants/variant_position/credible/roussos_2024/variant_figures/roussos_2024.childhood.GLU/rs12514566_count_position.png",4,220,900)</f>
        <v/>
      </c>
      <c r="T3217">
        <f>IMAGE("https://mitra.stanford.edu/kundaje/oak/projects/neuro-variants/variant_position/credible/roussos_2024/variant_figures/roussos_2024.childhood.GLU/rs12514566_profile_position.png",4,220,900)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-0.1125640434</v>
      </c>
      <c r="G3218" t="n">
        <v>0.0374772646304938</v>
      </c>
      <c r="H3218" t="n">
        <v>0.0131323112367411</v>
      </c>
      <c r="I3218" t="n">
        <v>0.356916268080314</v>
      </c>
      <c r="J3218" t="n">
        <v>0.0006552175301595</v>
      </c>
      <c r="K3218" t="n">
        <v>0.8547620930573411</v>
      </c>
      <c r="L3218" t="b">
        <v>0</v>
      </c>
      <c r="M3218" t="b">
        <v>0</v>
      </c>
      <c r="N3218" t="inlineStr">
        <is>
          <t>ref</t>
        </is>
      </c>
      <c r="O3218" t="n">
        <v>10</v>
      </c>
      <c r="P3218" t="n">
        <v>0.0002594</v>
      </c>
      <c r="Q3218" t="n">
        <v>5</v>
      </c>
      <c r="R3218" t="n">
        <v>0.006348</v>
      </c>
      <c r="S3218">
        <f>IMAGE("https://mitra.stanford.edu/kundaje/oak/projects/neuro-variants/variant_position/credible/roussos_2024/variant_figures/roussos_2024.childhood.GLU/rs2680786_count_position.png",4,220,900)</f>
        <v/>
      </c>
      <c r="T3218">
        <f>IMAGE("https://mitra.stanford.edu/kundaje/oak/projects/neuro-variants/variant_position/credible/roussos_2024/variant_figures/roussos_2024.childhood.GLU/rs2680786_profile_position.png",4,220,900)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0.0387018758</v>
      </c>
      <c r="G3219" t="n">
        <v>0.1942172876094317</v>
      </c>
      <c r="H3219" t="n">
        <v>0.023272167620797</v>
      </c>
      <c r="I3219" t="n">
        <v>0.058169003855108</v>
      </c>
      <c r="J3219" t="n">
        <v>0.3514520897936476</v>
      </c>
      <c r="K3219" t="n">
        <v>0.0785664594719762</v>
      </c>
      <c r="L3219" t="b">
        <v>0</v>
      </c>
      <c r="M3219" t="b">
        <v>0</v>
      </c>
      <c r="N3219" t="inlineStr">
        <is>
          <t>alt</t>
        </is>
      </c>
      <c r="O3219" t="n">
        <v>100</v>
      </c>
      <c r="P3219" t="n">
        <v>0.01868</v>
      </c>
      <c r="Q3219" t="n">
        <v>-100</v>
      </c>
      <c r="R3219" t="n">
        <v>0.0188</v>
      </c>
      <c r="S3219">
        <f>IMAGE("https://mitra.stanford.edu/kundaje/oak/projects/neuro-variants/variant_position/credible/roussos_2024/variant_figures/roussos_2024.childhood.GLU/rs2680790_count_position.png",4,220,900)</f>
        <v/>
      </c>
      <c r="T3219">
        <f>IMAGE("https://mitra.stanford.edu/kundaje/oak/projects/neuro-variants/variant_position/credible/roussos_2024/variant_figures/roussos_2024.childhood.GLU/rs2680790_profile_position.png",4,220,900)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-0.0366286731</v>
      </c>
      <c r="G3220" t="n">
        <v>0.2784631364790045</v>
      </c>
      <c r="H3220" t="n">
        <v>0.0286860749205766</v>
      </c>
      <c r="I3220" t="n">
        <v>0.0256433086811415</v>
      </c>
      <c r="J3220" t="n">
        <v>0.1648253268361028</v>
      </c>
      <c r="K3220" t="n">
        <v>0.1774076025773008</v>
      </c>
      <c r="L3220" t="b">
        <v>0</v>
      </c>
      <c r="M3220" t="b">
        <v>0</v>
      </c>
      <c r="N3220" t="inlineStr">
        <is>
          <t>ref</t>
        </is>
      </c>
      <c r="O3220" t="n">
        <v>75</v>
      </c>
      <c r="P3220" t="n">
        <v>0.007355</v>
      </c>
      <c r="Q3220" t="n">
        <v>25</v>
      </c>
      <c r="R3220" t="n">
        <v>0.135</v>
      </c>
      <c r="S3220">
        <f>IMAGE("https://mitra.stanford.edu/kundaje/oak/projects/neuro-variants/variant_position/credible/roussos_2024/variant_figures/roussos_2024.childhood.GLU/rs2635639_count_position.png",4,220,900)</f>
        <v/>
      </c>
      <c r="T3220">
        <f>IMAGE("https://mitra.stanford.edu/kundaje/oak/projects/neuro-variants/variant_position/credible/roussos_2024/variant_figures/roussos_2024.childhood.GLU/rs2635639_profile_position.png",4,220,900)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-0.0106360485479999</v>
      </c>
      <c r="G3221" t="n">
        <v>0.4211681054234287</v>
      </c>
      <c r="H3221" t="n">
        <v>0.0133956482242412</v>
      </c>
      <c r="I3221" t="n">
        <v>0.3452365115159026</v>
      </c>
      <c r="J3221" t="n">
        <v>0.170327711786704</v>
      </c>
      <c r="K3221" t="n">
        <v>0.1730147135425706</v>
      </c>
      <c r="L3221" t="b">
        <v>0</v>
      </c>
      <c r="M3221" t="b">
        <v>0</v>
      </c>
      <c r="N3221" t="inlineStr">
        <is>
          <t>ref</t>
        </is>
      </c>
      <c r="O3221" t="n">
        <v>15</v>
      </c>
      <c r="P3221" t="n">
        <v>0.00264</v>
      </c>
      <c r="Q3221" t="n">
        <v>100</v>
      </c>
      <c r="R3221" t="n">
        <v>0.09669999999999999</v>
      </c>
      <c r="S3221">
        <f>IMAGE("https://mitra.stanford.edu/kundaje/oak/projects/neuro-variants/variant_position/credible/roussos_2024/variant_figures/roussos_2024.childhood.GLU/rs2680799_count_position.png",4,220,900)</f>
        <v/>
      </c>
      <c r="T3221">
        <f>IMAGE("https://mitra.stanford.edu/kundaje/oak/projects/neuro-variants/variant_position/credible/roussos_2024/variant_figures/roussos_2024.childhood.GLU/rs2680799_profile_position.png",4,220,900)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-0.05105191268</v>
      </c>
      <c r="G3222" t="n">
        <v>0.2021538376944816</v>
      </c>
      <c r="H3222" t="n">
        <v>0.0232442192884687</v>
      </c>
      <c r="I3222" t="n">
        <v>0.0609587185097788</v>
      </c>
      <c r="J3222" t="n">
        <v>0.1673679005223196</v>
      </c>
      <c r="K3222" t="n">
        <v>0.1752992681480357</v>
      </c>
      <c r="L3222" t="b">
        <v>0</v>
      </c>
      <c r="M3222" t="b">
        <v>0</v>
      </c>
      <c r="N3222" t="inlineStr">
        <is>
          <t>ref</t>
        </is>
      </c>
      <c r="O3222" t="n">
        <v>100</v>
      </c>
      <c r="P3222" t="n">
        <v>0.0298</v>
      </c>
      <c r="Q3222" t="n">
        <v>50</v>
      </c>
      <c r="R3222" t="n">
        <v>0.09424</v>
      </c>
      <c r="S3222">
        <f>IMAGE("https://mitra.stanford.edu/kundaje/oak/projects/neuro-variants/variant_position/credible/roussos_2024/variant_figures/roussos_2024.childhood.GLU/rs2680800_count_position.png",4,220,900)</f>
        <v/>
      </c>
      <c r="T3222">
        <f>IMAGE("https://mitra.stanford.edu/kundaje/oak/projects/neuro-variants/variant_position/credible/roussos_2024/variant_figures/roussos_2024.childhood.GLU/rs2680800_profile_position.png",4,220,900)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0.110103721</v>
      </c>
      <c r="G3223" t="n">
        <v>0.0368827723276721</v>
      </c>
      <c r="H3223" t="n">
        <v>0.0120679595512509</v>
      </c>
      <c r="I3223" t="n">
        <v>0.4398735152104929</v>
      </c>
      <c r="J3223" t="n">
        <v>0.1720203570729496</v>
      </c>
      <c r="K3223" t="n">
        <v>0.167507938247804</v>
      </c>
      <c r="L3223" t="b">
        <v>0</v>
      </c>
      <c r="M3223" t="b">
        <v>0</v>
      </c>
      <c r="N3223" t="inlineStr">
        <is>
          <t>alt</t>
        </is>
      </c>
      <c r="O3223" t="n">
        <v>100</v>
      </c>
      <c r="P3223" t="n">
        <v>0.05563</v>
      </c>
      <c r="Q3223" t="n">
        <v>100</v>
      </c>
      <c r="R3223" t="n">
        <v>0.2161</v>
      </c>
      <c r="S3223">
        <f>IMAGE("https://mitra.stanford.edu/kundaje/oak/projects/neuro-variants/variant_position/credible/roussos_2024/variant_figures/roussos_2024.childhood.GLU/rs2635642_count_position.png",4,220,900)</f>
        <v/>
      </c>
      <c r="T3223">
        <f>IMAGE("https://mitra.stanford.edu/kundaje/oak/projects/neuro-variants/variant_position/credible/roussos_2024/variant_figures/roussos_2024.childhood.GLU/rs2635642_profile_position.png",4,220,900)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-0.345401166</v>
      </c>
      <c r="G3224" t="n">
        <v>0.0014239464463691</v>
      </c>
      <c r="H3224" t="n">
        <v>0.052535278058142</v>
      </c>
      <c r="I3224" t="n">
        <v>0.0024310553210813</v>
      </c>
      <c r="J3224" t="n">
        <v>0.0052664654310939</v>
      </c>
      <c r="K3224" t="n">
        <v>0.682955987612299</v>
      </c>
      <c r="L3224" t="b">
        <v>1</v>
      </c>
      <c r="M3224" t="b">
        <v>1</v>
      </c>
      <c r="N3224" t="inlineStr">
        <is>
          <t>ref</t>
        </is>
      </c>
      <c r="O3224" t="n">
        <v>-90</v>
      </c>
      <c r="P3224" t="n">
        <v>0.00966</v>
      </c>
      <c r="Q3224" t="n">
        <v>25</v>
      </c>
      <c r="R3224" t="n">
        <v>0.0315</v>
      </c>
      <c r="S3224">
        <f>IMAGE("https://mitra.stanford.edu/kundaje/oak/projects/neuro-variants/variant_position/credible/roussos_2024/variant_figures/roussos_2024.childhood.GLU/rs2680803_count_position.png",4,220,900)</f>
        <v/>
      </c>
      <c r="T3224">
        <f>IMAGE("https://mitra.stanford.edu/kundaje/oak/projects/neuro-variants/variant_position/credible/roussos_2024/variant_figures/roussos_2024.childhood.GLU/rs2680803_profile_position.png",4,220,900)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0.0549294919999999</v>
      </c>
      <c r="G3225" t="n">
        <v>0.1823755311418638</v>
      </c>
      <c r="H3225" t="n">
        <v>0.0170148604962266</v>
      </c>
      <c r="I3225" t="n">
        <v>0.1857981527646201</v>
      </c>
      <c r="J3225" t="n">
        <v>0.0844530066861033</v>
      </c>
      <c r="K3225" t="n">
        <v>0.2820142172143979</v>
      </c>
      <c r="L3225" t="b">
        <v>0</v>
      </c>
      <c r="M3225" t="b">
        <v>0</v>
      </c>
      <c r="N3225" t="inlineStr">
        <is>
          <t>alt</t>
        </is>
      </c>
      <c r="O3225" t="n">
        <v>100</v>
      </c>
      <c r="P3225" t="n">
        <v>0.01099</v>
      </c>
      <c r="Q3225" t="n">
        <v>95</v>
      </c>
      <c r="R3225" t="n">
        <v>0.1497</v>
      </c>
      <c r="S3225">
        <f>IMAGE("https://mitra.stanford.edu/kundaje/oak/projects/neuro-variants/variant_position/credible/roussos_2024/variant_figures/roussos_2024.childhood.GLU/rs75819762_count_position.png",4,220,900)</f>
        <v/>
      </c>
      <c r="T3225">
        <f>IMAGE("https://mitra.stanford.edu/kundaje/oak/projects/neuro-variants/variant_position/credible/roussos_2024/variant_figures/roussos_2024.childhood.GLU/rs75819762_profile_position.png",4,220,900)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0.0043860033999999</v>
      </c>
      <c r="G3226" t="n">
        <v>0.6044810018813386</v>
      </c>
      <c r="H3226" t="n">
        <v>0.0108108361162189</v>
      </c>
      <c r="I3226" t="n">
        <v>0.5593510149753824</v>
      </c>
      <c r="J3226" t="n">
        <v>0.4492051881689967</v>
      </c>
      <c r="K3226" t="n">
        <v>0.0521824963883384</v>
      </c>
      <c r="L3226" t="b">
        <v>0</v>
      </c>
      <c r="M3226" t="b">
        <v>0</v>
      </c>
      <c r="N3226" t="inlineStr">
        <is>
          <t>alt</t>
        </is>
      </c>
      <c r="O3226" t="n">
        <v>10</v>
      </c>
      <c r="P3226" t="n">
        <v>0.003662</v>
      </c>
      <c r="Q3226" t="n">
        <v>100</v>
      </c>
      <c r="R3226" t="n">
        <v>0.1221</v>
      </c>
      <c r="S3226">
        <f>IMAGE("https://mitra.stanford.edu/kundaje/oak/projects/neuro-variants/variant_position/credible/roussos_2024/variant_figures/roussos_2024.childhood.GLU/rs1862574_count_position.png",4,220,900)</f>
        <v/>
      </c>
      <c r="T3226">
        <f>IMAGE("https://mitra.stanford.edu/kundaje/oak/projects/neuro-variants/variant_position/credible/roussos_2024/variant_figures/roussos_2024.childhood.GLU/rs1862574_profile_position.png",4,220,900)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-0.0609523468</v>
      </c>
      <c r="G3227" t="n">
        <v>0.1373582389014518</v>
      </c>
      <c r="H3227" t="n">
        <v>0.0159718604763784</v>
      </c>
      <c r="I3227" t="n">
        <v>0.2168494192651568</v>
      </c>
      <c r="J3227" t="n">
        <v>0.239557213059021</v>
      </c>
      <c r="K3227" t="n">
        <v>0.1253365829361612</v>
      </c>
      <c r="L3227" t="b">
        <v>0</v>
      </c>
      <c r="M3227" t="b">
        <v>0</v>
      </c>
      <c r="N3227" t="inlineStr">
        <is>
          <t>ref</t>
        </is>
      </c>
      <c r="O3227" t="n">
        <v>-100</v>
      </c>
      <c r="P3227" t="n">
        <v>0.00923</v>
      </c>
      <c r="Q3227" t="n">
        <v>-45</v>
      </c>
      <c r="R3227" t="n">
        <v>0.1395</v>
      </c>
      <c r="S3227">
        <f>IMAGE("https://mitra.stanford.edu/kundaje/oak/projects/neuro-variants/variant_position/credible/roussos_2024/variant_figures/roussos_2024.childhood.GLU/rs2973038_count_position.png",4,220,900)</f>
        <v/>
      </c>
      <c r="T3227">
        <f>IMAGE("https://mitra.stanford.edu/kundaje/oak/projects/neuro-variants/variant_position/credible/roussos_2024/variant_figures/roussos_2024.childhood.GLU/rs2973038_profile_position.png",4,220,900)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0.1289242059999999</v>
      </c>
      <c r="G3228" t="n">
        <v>0.02690027547162</v>
      </c>
      <c r="H3228" t="n">
        <v>0.0380368829778249</v>
      </c>
      <c r="I3228" t="n">
        <v>0.0086149428570779</v>
      </c>
      <c r="J3228" t="n">
        <v>0.0073876806741734</v>
      </c>
      <c r="K3228" t="n">
        <v>0.6288906081200921</v>
      </c>
      <c r="L3228" t="b">
        <v>0</v>
      </c>
      <c r="M3228" t="b">
        <v>0</v>
      </c>
      <c r="N3228" t="inlineStr">
        <is>
          <t>alt</t>
        </is>
      </c>
      <c r="O3228" t="n">
        <v>100</v>
      </c>
      <c r="P3228" t="n">
        <v>0.01045</v>
      </c>
      <c r="Q3228" t="n">
        <v>-70</v>
      </c>
      <c r="R3228" t="n">
        <v>0.06859999999999999</v>
      </c>
      <c r="S3228">
        <f>IMAGE("https://mitra.stanford.edu/kundaje/oak/projects/neuro-variants/variant_position/credible/roussos_2024/variant_figures/roussos_2024.childhood.GLU/rs7702731_count_position.png",4,220,900)</f>
        <v/>
      </c>
      <c r="T3228">
        <f>IMAGE("https://mitra.stanford.edu/kundaje/oak/projects/neuro-variants/variant_position/credible/roussos_2024/variant_figures/roussos_2024.childhood.GLU/rs7702731_profile_position.png",4,220,900)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-0.008341667139999899</v>
      </c>
      <c r="G3229" t="n">
        <v>0.7240303718440102</v>
      </c>
      <c r="H3229" t="n">
        <v>0.0274122247260019</v>
      </c>
      <c r="I3229" t="n">
        <v>0.0302398764092818</v>
      </c>
      <c r="J3229" t="n">
        <v>0.0050779358587367</v>
      </c>
      <c r="K3229" t="n">
        <v>0.6784993882648331</v>
      </c>
      <c r="L3229" t="b">
        <v>0</v>
      </c>
      <c r="M3229" t="b">
        <v>0</v>
      </c>
      <c r="N3229" t="inlineStr">
        <is>
          <t>ref</t>
        </is>
      </c>
      <c r="O3229" t="n">
        <v>-85</v>
      </c>
      <c r="P3229" t="n">
        <v>0.01398</v>
      </c>
      <c r="Q3229" t="n">
        <v>80</v>
      </c>
      <c r="R3229" t="n">
        <v>0.01477</v>
      </c>
      <c r="S3229">
        <f>IMAGE("https://mitra.stanford.edu/kundaje/oak/projects/neuro-variants/variant_position/credible/roussos_2024/variant_figures/roussos_2024.childhood.GLU/rs11738503_count_position.png",4,220,900)</f>
        <v/>
      </c>
      <c r="T3229">
        <f>IMAGE("https://mitra.stanford.edu/kundaje/oak/projects/neuro-variants/variant_position/credible/roussos_2024/variant_figures/roussos_2024.childhood.GLU/rs11738503_profile_position.png",4,220,900)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-0.119779402</v>
      </c>
      <c r="G3230" t="n">
        <v>0.0346458864428371</v>
      </c>
      <c r="H3230" t="n">
        <v>0.0304257023863058</v>
      </c>
      <c r="I3230" t="n">
        <v>0.0215357437869325</v>
      </c>
      <c r="J3230" t="n">
        <v>0.3158035171582515</v>
      </c>
      <c r="K3230" t="n">
        <v>0.0916816422020217</v>
      </c>
      <c r="L3230" t="b">
        <v>0</v>
      </c>
      <c r="M3230" t="b">
        <v>0</v>
      </c>
      <c r="N3230" t="inlineStr">
        <is>
          <t>ref</t>
        </is>
      </c>
      <c r="O3230" t="n">
        <v>-100</v>
      </c>
      <c r="P3230" t="n">
        <v>0.003414</v>
      </c>
      <c r="Q3230" t="n">
        <v>30</v>
      </c>
      <c r="R3230" t="n">
        <v>0.0644</v>
      </c>
      <c r="S3230">
        <f>IMAGE("https://mitra.stanford.edu/kundaje/oak/projects/neuro-variants/variant_position/credible/roussos_2024/variant_figures/roussos_2024.childhood.GLU/rs138471599_count_position.png",4,220,900)</f>
        <v/>
      </c>
      <c r="T3230">
        <f>IMAGE("https://mitra.stanford.edu/kundaje/oak/projects/neuro-variants/variant_position/credible/roussos_2024/variant_figures/roussos_2024.childhood.GLU/rs138471599_profile_position.png",4,220,900)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0.1254675912</v>
      </c>
      <c r="G3231" t="n">
        <v>0.0253718067526647</v>
      </c>
      <c r="H3231" t="n">
        <v>0.0148985447879927</v>
      </c>
      <c r="I3231" t="n">
        <v>0.2509905398495976</v>
      </c>
      <c r="J3231" t="n">
        <v>0.0140830560334613</v>
      </c>
      <c r="K3231" t="n">
        <v>0.54428477252982</v>
      </c>
      <c r="L3231" t="b">
        <v>0</v>
      </c>
      <c r="M3231" t="b">
        <v>0</v>
      </c>
      <c r="N3231" t="inlineStr">
        <is>
          <t>alt</t>
        </is>
      </c>
      <c r="O3231" t="n">
        <v>-80</v>
      </c>
      <c r="P3231" t="n">
        <v>0.01196</v>
      </c>
      <c r="Q3231" t="n">
        <v>-100</v>
      </c>
      <c r="R3231" t="n">
        <v>0.03546</v>
      </c>
      <c r="S3231">
        <f>IMAGE("https://mitra.stanford.edu/kundaje/oak/projects/neuro-variants/variant_position/credible/roussos_2024/variant_figures/roussos_2024.childhood.GLU/rs245412_count_position.png",4,220,900)</f>
        <v/>
      </c>
      <c r="T3231">
        <f>IMAGE("https://mitra.stanford.edu/kundaje/oak/projects/neuro-variants/variant_position/credible/roussos_2024/variant_figures/roussos_2024.childhood.GLU/rs245412_profile_position.png",4,220,900)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-0.0735843482</v>
      </c>
      <c r="G3232" t="n">
        <v>0.0878029904974775</v>
      </c>
      <c r="H3232" t="n">
        <v>0.0108788237484711</v>
      </c>
      <c r="I3232" t="n">
        <v>0.5528082854795997</v>
      </c>
      <c r="J3232" t="n">
        <v>0.0618376997331739</v>
      </c>
      <c r="K3232" t="n">
        <v>0.3245156276253046</v>
      </c>
      <c r="L3232" t="b">
        <v>0</v>
      </c>
      <c r="M3232" t="b">
        <v>0</v>
      </c>
      <c r="N3232" t="inlineStr">
        <is>
          <t>ref</t>
        </is>
      </c>
      <c r="O3232" t="n">
        <v>100</v>
      </c>
      <c r="P3232" t="n">
        <v>0.00325</v>
      </c>
      <c r="Q3232" t="n">
        <v>-55</v>
      </c>
      <c r="R3232" t="n">
        <v>0.2303</v>
      </c>
      <c r="S3232">
        <f>IMAGE("https://mitra.stanford.edu/kundaje/oak/projects/neuro-variants/variant_position/credible/roussos_2024/variant_figures/roussos_2024.childhood.GLU/rs151893_count_position.png",4,220,900)</f>
        <v/>
      </c>
      <c r="T3232">
        <f>IMAGE("https://mitra.stanford.edu/kundaje/oak/projects/neuro-variants/variant_position/credible/roussos_2024/variant_figures/roussos_2024.childhood.GLU/rs151893_profile_position.png",4,220,900)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-0.1962762819999999</v>
      </c>
      <c r="G3233" t="n">
        <v>0.0086929463767143</v>
      </c>
      <c r="H3233" t="n">
        <v>0.0480683940328549</v>
      </c>
      <c r="I3233" t="n">
        <v>0.00323972244838</v>
      </c>
      <c r="J3233" t="n">
        <v>0.0657587027517075</v>
      </c>
      <c r="K3233" t="n">
        <v>0.3119844352191924</v>
      </c>
      <c r="L3233" t="b">
        <v>1</v>
      </c>
      <c r="M3233" t="b">
        <v>1</v>
      </c>
      <c r="N3233" t="inlineStr">
        <is>
          <t>ref</t>
        </is>
      </c>
      <c r="O3233" t="n">
        <v>-60</v>
      </c>
      <c r="P3233" t="n">
        <v>0.00679</v>
      </c>
      <c r="Q3233" t="n">
        <v>-60</v>
      </c>
      <c r="R3233" t="n">
        <v>0.1465</v>
      </c>
      <c r="S3233">
        <f>IMAGE("https://mitra.stanford.edu/kundaje/oak/projects/neuro-variants/variant_position/credible/roussos_2024/variant_figures/roussos_2024.childhood.GLU/rs158280_count_position.png",4,220,900)</f>
        <v/>
      </c>
      <c r="T3233">
        <f>IMAGE("https://mitra.stanford.edu/kundaje/oak/projects/neuro-variants/variant_position/credible/roussos_2024/variant_figures/roussos_2024.childhood.GLU/rs158280_profile_position.png",4,220,900)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-0.160061659</v>
      </c>
      <c r="G3234" t="n">
        <v>0.0162663189046741</v>
      </c>
      <c r="H3234" t="n">
        <v>0.0245632450552386</v>
      </c>
      <c r="I3234" t="n">
        <v>0.0510646456811522</v>
      </c>
      <c r="J3234" t="n">
        <v>0.0252732648582937</v>
      </c>
      <c r="K3234" t="n">
        <v>0.4505282151192796</v>
      </c>
      <c r="L3234" t="b">
        <v>1</v>
      </c>
      <c r="M3234" t="b">
        <v>0</v>
      </c>
      <c r="N3234" t="inlineStr">
        <is>
          <t>ref</t>
        </is>
      </c>
      <c r="O3234" t="n">
        <v>30</v>
      </c>
      <c r="P3234" t="n">
        <v>0.001987</v>
      </c>
      <c r="Q3234" t="n">
        <v>-100</v>
      </c>
      <c r="R3234" t="n">
        <v>0.08984</v>
      </c>
      <c r="S3234">
        <f>IMAGE("https://mitra.stanford.edu/kundaje/oak/projects/neuro-variants/variant_position/credible/roussos_2024/variant_figures/roussos_2024.childhood.GLU/rs832636_count_position.png",4,220,900)</f>
        <v/>
      </c>
      <c r="T3234">
        <f>IMAGE("https://mitra.stanford.edu/kundaje/oak/projects/neuro-variants/variant_position/credible/roussos_2024/variant_figures/roussos_2024.childhood.GLU/rs832636_profile_position.png",4,220,900)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0.32922787</v>
      </c>
      <c r="G3235" t="n">
        <v>0.0015255949422629</v>
      </c>
      <c r="H3235" t="n">
        <v>0.0550176890966286</v>
      </c>
      <c r="I3235" t="n">
        <v>0.0019280732881814</v>
      </c>
      <c r="J3235" t="n">
        <v>0.07351829148938351</v>
      </c>
      <c r="K3235" t="n">
        <v>0.2976658297518627</v>
      </c>
      <c r="L3235" t="b">
        <v>1</v>
      </c>
      <c r="M3235" t="b">
        <v>1</v>
      </c>
      <c r="N3235" t="inlineStr">
        <is>
          <t>alt</t>
        </is>
      </c>
      <c r="O3235" t="n">
        <v>-30</v>
      </c>
      <c r="P3235" t="n">
        <v>0.00505</v>
      </c>
      <c r="Q3235" t="n">
        <v>-30</v>
      </c>
      <c r="R3235" t="n">
        <v>0.0742</v>
      </c>
      <c r="S3235">
        <f>IMAGE("https://mitra.stanford.edu/kundaje/oak/projects/neuro-variants/variant_position/credible/roussos_2024/variant_figures/roussos_2024.childhood.GLU/rs12153002_count_position.png",4,220,900)</f>
        <v/>
      </c>
      <c r="T3235">
        <f>IMAGE("https://mitra.stanford.edu/kundaje/oak/projects/neuro-variants/variant_position/credible/roussos_2024/variant_figures/roussos_2024.childhood.GLU/rs12153002_profile_position.png",4,220,900)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-0.00836537436</v>
      </c>
      <c r="G3236" t="n">
        <v>0.7155377519514189</v>
      </c>
      <c r="H3236" t="n">
        <v>0.0226410198167586</v>
      </c>
      <c r="I3236" t="n">
        <v>0.0630247251345584</v>
      </c>
      <c r="J3236" t="n">
        <v>0.0028681220188116</v>
      </c>
      <c r="K3236" t="n">
        <v>0.729147240315501</v>
      </c>
      <c r="L3236" t="b">
        <v>0</v>
      </c>
      <c r="M3236" t="b">
        <v>0</v>
      </c>
      <c r="N3236" t="inlineStr">
        <is>
          <t>ref</t>
        </is>
      </c>
      <c r="O3236" t="n">
        <v>65</v>
      </c>
      <c r="P3236" t="n">
        <v>0.008385</v>
      </c>
      <c r="Q3236" t="n">
        <v>-100</v>
      </c>
      <c r="R3236" t="n">
        <v>0.0542</v>
      </c>
      <c r="S3236">
        <f>IMAGE("https://mitra.stanford.edu/kundaje/oak/projects/neuro-variants/variant_position/credible/roussos_2024/variant_figures/roussos_2024.childhood.GLU/rs117702129_count_position.png",4,220,900)</f>
        <v/>
      </c>
      <c r="T3236">
        <f>IMAGE("https://mitra.stanford.edu/kundaje/oak/projects/neuro-variants/variant_position/credible/roussos_2024/variant_figures/roussos_2024.childhood.GLU/rs117702129_profile_position.png",4,220,900)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-0.1473308057999999</v>
      </c>
      <c r="G3237" t="n">
        <v>0.0184734647306678</v>
      </c>
      <c r="H3237" t="n">
        <v>0.0262361190480175</v>
      </c>
      <c r="I3237" t="n">
        <v>0.0376889721881565</v>
      </c>
      <c r="J3237" t="n">
        <v>0.0523473477082839</v>
      </c>
      <c r="K3237" t="n">
        <v>0.3440377994684215</v>
      </c>
      <c r="L3237" t="b">
        <v>1</v>
      </c>
      <c r="M3237" t="b">
        <v>0</v>
      </c>
      <c r="N3237" t="inlineStr">
        <is>
          <t>ref</t>
        </is>
      </c>
      <c r="O3237" t="n">
        <v>55</v>
      </c>
      <c r="P3237" t="n">
        <v>0.00804</v>
      </c>
      <c r="Q3237" t="n">
        <v>-15</v>
      </c>
      <c r="R3237" t="n">
        <v>0.04004</v>
      </c>
      <c r="S3237">
        <f>IMAGE("https://mitra.stanford.edu/kundaje/oak/projects/neuro-variants/variant_position/credible/roussos_2024/variant_figures/roussos_2024.childhood.GLU/rs171748_count_position.png",4,220,900)</f>
        <v/>
      </c>
      <c r="T3237">
        <f>IMAGE("https://mitra.stanford.edu/kundaje/oak/projects/neuro-variants/variant_position/credible/roussos_2024/variant_figures/roussos_2024.childhood.GLU/rs171748_profile_position.png",4,220,900)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0.01088700418</v>
      </c>
      <c r="G3238" t="n">
        <v>0.6393990529588681</v>
      </c>
      <c r="H3238" t="n">
        <v>0.0226132021948847</v>
      </c>
      <c r="I3238" t="n">
        <v>0.0629498302277367</v>
      </c>
      <c r="J3238" t="n">
        <v>0.0035521856037581</v>
      </c>
      <c r="K3238" t="n">
        <v>0.7151641223278081</v>
      </c>
      <c r="L3238" t="b">
        <v>0</v>
      </c>
      <c r="M3238" t="b">
        <v>0</v>
      </c>
      <c r="N3238" t="inlineStr">
        <is>
          <t>alt</t>
        </is>
      </c>
      <c r="O3238" t="n">
        <v>100</v>
      </c>
      <c r="P3238" t="n">
        <v>0.01451</v>
      </c>
      <c r="Q3238" t="n">
        <v>90</v>
      </c>
      <c r="R3238" t="n">
        <v>0.07153</v>
      </c>
      <c r="S3238">
        <f>IMAGE("https://mitra.stanford.edu/kundaje/oak/projects/neuro-variants/variant_position/credible/roussos_2024/variant_figures/roussos_2024.childhood.GLU/rs177114_count_position.png",4,220,900)</f>
        <v/>
      </c>
      <c r="T3238">
        <f>IMAGE("https://mitra.stanford.edu/kundaje/oak/projects/neuro-variants/variant_position/credible/roussos_2024/variant_figures/roussos_2024.childhood.GLU/rs177114_profile_position.png",4,220,900)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-0.009983717059999999</v>
      </c>
      <c r="G3239" t="n">
        <v>0.6668749492887258</v>
      </c>
      <c r="H3239" t="n">
        <v>0.0088257043983604</v>
      </c>
      <c r="I3239" t="n">
        <v>0.7799671701486708</v>
      </c>
      <c r="J3239" t="n">
        <v>0.1018698424799365</v>
      </c>
      <c r="K3239" t="n">
        <v>0.2427286811401922</v>
      </c>
      <c r="L3239" t="b">
        <v>0</v>
      </c>
      <c r="M3239" t="b">
        <v>0</v>
      </c>
      <c r="N3239" t="inlineStr">
        <is>
          <t>ref</t>
        </is>
      </c>
      <c r="O3239" t="n">
        <v>60</v>
      </c>
      <c r="P3239" t="n">
        <v>0.01724</v>
      </c>
      <c r="Q3239" t="n">
        <v>60</v>
      </c>
      <c r="R3239" t="n">
        <v>0.0759</v>
      </c>
      <c r="S3239">
        <f>IMAGE("https://mitra.stanford.edu/kundaje/oak/projects/neuro-variants/variant_position/credible/roussos_2024/variant_figures/roussos_2024.childhood.GLU/rs476099_count_position.png",4,220,900)</f>
        <v/>
      </c>
      <c r="T3239">
        <f>IMAGE("https://mitra.stanford.edu/kundaje/oak/projects/neuro-variants/variant_position/credible/roussos_2024/variant_figures/roussos_2024.childhood.GLU/rs476099_profile_position.png",4,220,900)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-0.0214775498</v>
      </c>
      <c r="G3240" t="n">
        <v>0.4437126949736698</v>
      </c>
      <c r="H3240" t="n">
        <v>0.009147986862205601</v>
      </c>
      <c r="I3240" t="n">
        <v>0.7635789640893452</v>
      </c>
      <c r="J3240" t="n">
        <v>7.829643442157977e-05</v>
      </c>
      <c r="K3240" t="n">
        <v>0.9478485124191396</v>
      </c>
      <c r="L3240" t="b">
        <v>0</v>
      </c>
      <c r="M3240" t="b">
        <v>0</v>
      </c>
      <c r="N3240" t="inlineStr">
        <is>
          <t>ref</t>
        </is>
      </c>
      <c r="O3240" t="n">
        <v>35</v>
      </c>
      <c r="P3240" t="n">
        <v>0.001442</v>
      </c>
      <c r="Q3240" t="n">
        <v>-55</v>
      </c>
      <c r="R3240" t="n">
        <v>0.02827</v>
      </c>
      <c r="S3240">
        <f>IMAGE("https://mitra.stanford.edu/kundaje/oak/projects/neuro-variants/variant_position/credible/roussos_2024/variant_figures/roussos_2024.childhood.GLU/rs192070971_count_position.png",4,220,900)</f>
        <v/>
      </c>
      <c r="T3240">
        <f>IMAGE("https://mitra.stanford.edu/kundaje/oak/projects/neuro-variants/variant_position/credible/roussos_2024/variant_figures/roussos_2024.childhood.GLU/rs192070971_profile_position.png",4,220,900)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0.0077970446</v>
      </c>
      <c r="G3241" t="n">
        <v>0.5222180925656025</v>
      </c>
      <c r="H3241" t="n">
        <v>0.0331862808296821</v>
      </c>
      <c r="I3241" t="n">
        <v>0.0143328117989934</v>
      </c>
      <c r="J3241" t="n">
        <v>0.0218673699609547</v>
      </c>
      <c r="K3241" t="n">
        <v>0.4750760486426459</v>
      </c>
      <c r="L3241" t="b">
        <v>1</v>
      </c>
      <c r="M3241" t="b">
        <v>0</v>
      </c>
      <c r="N3241" t="inlineStr">
        <is>
          <t>alt</t>
        </is>
      </c>
      <c r="O3241" t="n">
        <v>-100</v>
      </c>
      <c r="P3241" t="n">
        <v>0.01521</v>
      </c>
      <c r="Q3241" t="n">
        <v>-100</v>
      </c>
      <c r="R3241" t="n">
        <v>0.1676</v>
      </c>
      <c r="S3241">
        <f>IMAGE("https://mitra.stanford.edu/kundaje/oak/projects/neuro-variants/variant_position/credible/roussos_2024/variant_figures/roussos_2024.childhood.GLU/rs10939891_count_position.png",4,220,900)</f>
        <v/>
      </c>
      <c r="T3241">
        <f>IMAGE("https://mitra.stanford.edu/kundaje/oak/projects/neuro-variants/variant_position/credible/roussos_2024/variant_figures/roussos_2024.childhood.GLU/rs10939891_profile_position.png",4,220,900)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-0.1090900128</v>
      </c>
      <c r="G3242" t="n">
        <v>0.0374286873181636</v>
      </c>
      <c r="H3242" t="n">
        <v>0.0194644262482776</v>
      </c>
      <c r="I3242" t="n">
        <v>0.1148065115743364</v>
      </c>
      <c r="J3242" t="n">
        <v>0.3524359463051295</v>
      </c>
      <c r="K3242" t="n">
        <v>0.0782844004494391</v>
      </c>
      <c r="L3242" t="b">
        <v>0</v>
      </c>
      <c r="M3242" t="b">
        <v>0</v>
      </c>
      <c r="N3242" t="inlineStr">
        <is>
          <t>ref</t>
        </is>
      </c>
      <c r="O3242" t="n">
        <v>100</v>
      </c>
      <c r="P3242" t="n">
        <v>0.005917</v>
      </c>
      <c r="Q3242" t="n">
        <v>-100</v>
      </c>
      <c r="R3242" t="n">
        <v>0.07983</v>
      </c>
      <c r="S3242">
        <f>IMAGE("https://mitra.stanford.edu/kundaje/oak/projects/neuro-variants/variant_position/credible/roussos_2024/variant_figures/roussos_2024.childhood.GLU/rs11949390_count_position.png",4,220,900)</f>
        <v/>
      </c>
      <c r="T3242">
        <f>IMAGE("https://mitra.stanford.edu/kundaje/oak/projects/neuro-variants/variant_position/credible/roussos_2024/variant_figures/roussos_2024.childhood.GLU/rs11949390_profile_position.png",4,220,900)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0.00973104724</v>
      </c>
      <c r="G3243" t="n">
        <v>0.6655501750952254</v>
      </c>
      <c r="H3243" t="n">
        <v>0.007136011451726</v>
      </c>
      <c r="I3243" t="n">
        <v>0.9425277377713032</v>
      </c>
      <c r="J3243" t="n">
        <v>0.0234508123255071</v>
      </c>
      <c r="K3243" t="n">
        <v>0.4663591936205003</v>
      </c>
      <c r="L3243" t="b">
        <v>0</v>
      </c>
      <c r="M3243" t="b">
        <v>0</v>
      </c>
      <c r="N3243" t="inlineStr">
        <is>
          <t>alt</t>
        </is>
      </c>
      <c r="O3243" t="n">
        <v>50</v>
      </c>
      <c r="P3243" t="n">
        <v>0.04556</v>
      </c>
      <c r="Q3243" t="n">
        <v>30</v>
      </c>
      <c r="R3243" t="n">
        <v>0.04126</v>
      </c>
      <c r="S3243">
        <f>IMAGE("https://mitra.stanford.edu/kundaje/oak/projects/neuro-variants/variant_position/credible/roussos_2024/variant_figures/roussos_2024.childhood.GLU/rs10939894_count_position.png",4,220,900)</f>
        <v/>
      </c>
      <c r="T3243">
        <f>IMAGE("https://mitra.stanford.edu/kundaje/oak/projects/neuro-variants/variant_position/credible/roussos_2024/variant_figures/roussos_2024.childhood.GLU/rs10939894_profile_position.png",4,220,900)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-0.157967998</v>
      </c>
      <c r="G3244" t="n">
        <v>0.0146860554696331</v>
      </c>
      <c r="H3244" t="n">
        <v>0.0331541930777882</v>
      </c>
      <c r="I3244" t="n">
        <v>0.0145218462693511</v>
      </c>
      <c r="J3244" t="n">
        <v>0.0370362739138944</v>
      </c>
      <c r="K3244" t="n">
        <v>0.4122465024669445</v>
      </c>
      <c r="L3244" t="b">
        <v>1</v>
      </c>
      <c r="M3244" t="b">
        <v>0</v>
      </c>
      <c r="N3244" t="inlineStr">
        <is>
          <t>ref</t>
        </is>
      </c>
      <c r="O3244" t="n">
        <v>80</v>
      </c>
      <c r="P3244" t="n">
        <v>0.004105</v>
      </c>
      <c r="Q3244" t="n">
        <v>60</v>
      </c>
      <c r="R3244" t="n">
        <v>0.07006999999999999</v>
      </c>
      <c r="S3244">
        <f>IMAGE("https://mitra.stanford.edu/kundaje/oak/projects/neuro-variants/variant_position/credible/roussos_2024/variant_figures/roussos_2024.childhood.GLU/rs13179814_count_position.png",4,220,900)</f>
        <v/>
      </c>
      <c r="T3244">
        <f>IMAGE("https://mitra.stanford.edu/kundaje/oak/projects/neuro-variants/variant_position/credible/roussos_2024/variant_figures/roussos_2024.childhood.GLU/rs13179814_profile_position.png",4,220,900)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0.0193908398</v>
      </c>
      <c r="G3245" t="n">
        <v>0.3743658023057828</v>
      </c>
      <c r="H3245" t="n">
        <v>0.0137982809554588</v>
      </c>
      <c r="I3245" t="n">
        <v>0.3157244423926567</v>
      </c>
      <c r="J3245" t="n">
        <v>0.0168543377254885</v>
      </c>
      <c r="K3245" t="n">
        <v>0.5251636558793458</v>
      </c>
      <c r="L3245" t="b">
        <v>0</v>
      </c>
      <c r="M3245" t="b">
        <v>0</v>
      </c>
      <c r="N3245" t="inlineStr">
        <is>
          <t>alt</t>
        </is>
      </c>
      <c r="O3245" t="n">
        <v>-70</v>
      </c>
      <c r="P3245" t="n">
        <v>0.0344</v>
      </c>
      <c r="Q3245" t="n">
        <v>10</v>
      </c>
      <c r="R3245" t="n">
        <v>0.01007</v>
      </c>
      <c r="S3245">
        <f>IMAGE("https://mitra.stanford.edu/kundaje/oak/projects/neuro-variants/variant_position/credible/roussos_2024/variant_figures/roussos_2024.childhood.GLU/rs62366231_count_position.png",4,220,900)</f>
        <v/>
      </c>
      <c r="T3245">
        <f>IMAGE("https://mitra.stanford.edu/kundaje/oak/projects/neuro-variants/variant_position/credible/roussos_2024/variant_figures/roussos_2024.childhood.GLU/rs62366231_profile_position.png",4,220,900)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-0.2116489299999999</v>
      </c>
      <c r="G3246" t="n">
        <v>0.0063818695361362</v>
      </c>
      <c r="H3246" t="n">
        <v>0.0290588933164221</v>
      </c>
      <c r="I3246" t="n">
        <v>0.0250659769099092</v>
      </c>
      <c r="J3246" t="n">
        <v>0.07792143570935529</v>
      </c>
      <c r="K3246" t="n">
        <v>0.2906572226244541</v>
      </c>
      <c r="L3246" t="b">
        <v>1</v>
      </c>
      <c r="M3246" t="b">
        <v>1</v>
      </c>
      <c r="N3246" t="inlineStr">
        <is>
          <t>ref</t>
        </is>
      </c>
      <c r="O3246" t="n">
        <v>100</v>
      </c>
      <c r="P3246" t="n">
        <v>0.07294</v>
      </c>
      <c r="Q3246" t="n">
        <v>85</v>
      </c>
      <c r="R3246" t="n">
        <v>0.0481</v>
      </c>
      <c r="S3246">
        <f>IMAGE("https://mitra.stanford.edu/kundaje/oak/projects/neuro-variants/variant_position/credible/roussos_2024/variant_figures/roussos_2024.childhood.GLU/rs4604142_count_position.png",4,220,900)</f>
        <v/>
      </c>
      <c r="T3246">
        <f>IMAGE("https://mitra.stanford.edu/kundaje/oak/projects/neuro-variants/variant_position/credible/roussos_2024/variant_figures/roussos_2024.childhood.GLU/rs4604142_profile_position.png",4,220,900)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0.0313593424</v>
      </c>
      <c r="G3247" t="n">
        <v>0.3148841816023212</v>
      </c>
      <c r="H3247" t="n">
        <v>0.0099163612901046</v>
      </c>
      <c r="I3247" t="n">
        <v>0.6730521650232506</v>
      </c>
      <c r="J3247" t="n">
        <v>0.06751316101249639</v>
      </c>
      <c r="K3247" t="n">
        <v>0.3145759154172213</v>
      </c>
      <c r="L3247" t="b">
        <v>0</v>
      </c>
      <c r="M3247" t="b">
        <v>0</v>
      </c>
      <c r="N3247" t="inlineStr">
        <is>
          <t>alt</t>
        </is>
      </c>
      <c r="O3247" t="n">
        <v>-80</v>
      </c>
      <c r="P3247" t="n">
        <v>0.010544</v>
      </c>
      <c r="Q3247" t="n">
        <v>100</v>
      </c>
      <c r="R3247" t="n">
        <v>0.1542</v>
      </c>
      <c r="S3247">
        <f>IMAGE("https://mitra.stanford.edu/kundaje/oak/projects/neuro-variants/variant_position/credible/roussos_2024/variant_figures/roussos_2024.childhood.GLU/rs10939902_count_position.png",4,220,900)</f>
        <v/>
      </c>
      <c r="T3247">
        <f>IMAGE("https://mitra.stanford.edu/kundaje/oak/projects/neuro-variants/variant_position/credible/roussos_2024/variant_figures/roussos_2024.childhood.GLU/rs10939902_profile_position.png",4,220,900)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0.01323545604</v>
      </c>
      <c r="G3248" t="n">
        <v>0.5333567918816531</v>
      </c>
      <c r="H3248" t="n">
        <v>0.0336008917323371</v>
      </c>
      <c r="I3248" t="n">
        <v>0.0131901641278905</v>
      </c>
      <c r="J3248" t="n">
        <v>0.0017678510719399</v>
      </c>
      <c r="K3248" t="n">
        <v>0.7744879327337755</v>
      </c>
      <c r="L3248" t="b">
        <v>0</v>
      </c>
      <c r="M3248" t="b">
        <v>0</v>
      </c>
      <c r="N3248" t="inlineStr">
        <is>
          <t>alt</t>
        </is>
      </c>
      <c r="O3248" t="n">
        <v>100</v>
      </c>
      <c r="P3248" t="n">
        <v>0.0173</v>
      </c>
      <c r="Q3248" t="n">
        <v>-90</v>
      </c>
      <c r="R3248" t="n">
        <v>0.02942</v>
      </c>
      <c r="S3248">
        <f>IMAGE("https://mitra.stanford.edu/kundaje/oak/projects/neuro-variants/variant_position/credible/roussos_2024/variant_figures/roussos_2024.childhood.GLU/rs34270022_count_position.png",4,220,900)</f>
        <v/>
      </c>
      <c r="T3248">
        <f>IMAGE("https://mitra.stanford.edu/kundaje/oak/projects/neuro-variants/variant_position/credible/roussos_2024/variant_figures/roussos_2024.childhood.GLU/rs34270022_profile_position.png",4,220,900)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0.06310972400000001</v>
      </c>
      <c r="G3249" t="n">
        <v>0.1224890956380659</v>
      </c>
      <c r="H3249" t="n">
        <v>0.0166647694672714</v>
      </c>
      <c r="I3249" t="n">
        <v>0.1839598384832451</v>
      </c>
      <c r="J3249" t="n">
        <v>0.0006418247190084</v>
      </c>
      <c r="K3249" t="n">
        <v>0.853819592046884</v>
      </c>
      <c r="L3249" t="b">
        <v>0</v>
      </c>
      <c r="M3249" t="b">
        <v>0</v>
      </c>
      <c r="N3249" t="inlineStr">
        <is>
          <t>alt</t>
        </is>
      </c>
      <c r="O3249" t="n">
        <v>85</v>
      </c>
      <c r="P3249" t="n">
        <v>0.003967</v>
      </c>
      <c r="Q3249" t="n">
        <v>-55</v>
      </c>
      <c r="R3249" t="n">
        <v>0.01898</v>
      </c>
      <c r="S3249">
        <f>IMAGE("https://mitra.stanford.edu/kundaje/oak/projects/neuro-variants/variant_position/credible/roussos_2024/variant_figures/roussos_2024.childhood.GLU/rs3104058_count_position.png",4,220,900)</f>
        <v/>
      </c>
      <c r="T3249">
        <f>IMAGE("https://mitra.stanford.edu/kundaje/oak/projects/neuro-variants/variant_position/credible/roussos_2024/variant_figures/roussos_2024.childhood.GLU/rs3104058_profile_position.png",4,220,900)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0.03293746386</v>
      </c>
      <c r="G3250" t="n">
        <v>0.2924410190042932</v>
      </c>
      <c r="H3250" t="n">
        <v>0.0275731443846391</v>
      </c>
      <c r="I3250" t="n">
        <v>0.0291148775066942</v>
      </c>
      <c r="J3250" t="n">
        <v>0.001561807823462</v>
      </c>
      <c r="K3250" t="n">
        <v>0.8007732340377844</v>
      </c>
      <c r="L3250" t="b">
        <v>0</v>
      </c>
      <c r="M3250" t="b">
        <v>0</v>
      </c>
      <c r="N3250" t="inlineStr">
        <is>
          <t>alt</t>
        </is>
      </c>
      <c r="O3250" t="n">
        <v>-100</v>
      </c>
      <c r="P3250" t="n">
        <v>0.01926</v>
      </c>
      <c r="Q3250" t="n">
        <v>-35</v>
      </c>
      <c r="R3250" t="n">
        <v>0.044</v>
      </c>
      <c r="S3250">
        <f>IMAGE("https://mitra.stanford.edu/kundaje/oak/projects/neuro-variants/variant_position/credible/roussos_2024/variant_figures/roussos_2024.childhood.GLU/rs1603090_count_position.png",4,220,900)</f>
        <v/>
      </c>
      <c r="T3250">
        <f>IMAGE("https://mitra.stanford.edu/kundaje/oak/projects/neuro-variants/variant_position/credible/roussos_2024/variant_figures/roussos_2024.childhood.GLU/rs1603090_profile_position.png",4,220,900)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0.150501624</v>
      </c>
      <c r="G3251" t="n">
        <v>0.0160801162109997</v>
      </c>
      <c r="H3251" t="n">
        <v>0.0286433806676726</v>
      </c>
      <c r="I3251" t="n">
        <v>0.0268095006223465</v>
      </c>
      <c r="J3251" t="n">
        <v>0.087405606436791</v>
      </c>
      <c r="K3251" t="n">
        <v>0.2716807268750951</v>
      </c>
      <c r="L3251" t="b">
        <v>1</v>
      </c>
      <c r="M3251" t="b">
        <v>0</v>
      </c>
      <c r="N3251" t="inlineStr">
        <is>
          <t>alt</t>
        </is>
      </c>
      <c r="O3251" t="n">
        <v>100</v>
      </c>
      <c r="P3251" t="n">
        <v>0.02838</v>
      </c>
      <c r="Q3251" t="n">
        <v>100</v>
      </c>
      <c r="R3251" t="n">
        <v>0.1726</v>
      </c>
      <c r="S3251">
        <f>IMAGE("https://mitra.stanford.edu/kundaje/oak/projects/neuro-variants/variant_position/credible/roussos_2024/variant_figures/roussos_2024.childhood.GLU/rs2963002_count_position.png",4,220,900)</f>
        <v/>
      </c>
      <c r="T3251">
        <f>IMAGE("https://mitra.stanford.edu/kundaje/oak/projects/neuro-variants/variant_position/credible/roussos_2024/variant_figures/roussos_2024.childhood.GLU/rs2963002_profile_position.png",4,220,900)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0.099298779</v>
      </c>
      <c r="G3252" t="n">
        <v>0.0452170373637209</v>
      </c>
      <c r="H3252" t="n">
        <v>0.0121888727440716</v>
      </c>
      <c r="I3252" t="n">
        <v>0.4365872860621145</v>
      </c>
      <c r="J3252" t="n">
        <v>0.0273646038303439</v>
      </c>
      <c r="K3252" t="n">
        <v>0.4616069586291093</v>
      </c>
      <c r="L3252" t="b">
        <v>0</v>
      </c>
      <c r="M3252" t="b">
        <v>0</v>
      </c>
      <c r="N3252" t="inlineStr">
        <is>
          <t>alt</t>
        </is>
      </c>
      <c r="O3252" t="n">
        <v>-45</v>
      </c>
      <c r="P3252" t="n">
        <v>0.01697</v>
      </c>
      <c r="Q3252" t="n">
        <v>75</v>
      </c>
      <c r="R3252" t="n">
        <v>0.10425</v>
      </c>
      <c r="S3252">
        <f>IMAGE("https://mitra.stanford.edu/kundaje/oak/projects/neuro-variants/variant_position/credible/roussos_2024/variant_figures/roussos_2024.childhood.GLU/rs11743978_count_position.png",4,220,900)</f>
        <v/>
      </c>
      <c r="T3252">
        <f>IMAGE("https://mitra.stanford.edu/kundaje/oak/projects/neuro-variants/variant_position/credible/roussos_2024/variant_figures/roussos_2024.childhood.GLU/rs11743978_profile_position.png",4,220,900)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0.0013587852</v>
      </c>
      <c r="G3253" t="n">
        <v>0.8502305266688174</v>
      </c>
      <c r="H3253" t="n">
        <v>0.0251278877263097</v>
      </c>
      <c r="I3253" t="n">
        <v>0.0427844556786693</v>
      </c>
      <c r="J3253" t="n">
        <v>0.0002627051418092</v>
      </c>
      <c r="K3253" t="n">
        <v>0.9065797879506544</v>
      </c>
      <c r="L3253" t="b">
        <v>0</v>
      </c>
      <c r="M3253" t="b">
        <v>0</v>
      </c>
      <c r="N3253" t="inlineStr">
        <is>
          <t>alt</t>
        </is>
      </c>
      <c r="O3253" t="n">
        <v>30</v>
      </c>
      <c r="P3253" t="n">
        <v>0.004303</v>
      </c>
      <c r="Q3253" t="n">
        <v>-70</v>
      </c>
      <c r="R3253" t="n">
        <v>0.1231</v>
      </c>
      <c r="S3253">
        <f>IMAGE("https://mitra.stanford.edu/kundaje/oak/projects/neuro-variants/variant_position/credible/roussos_2024/variant_figures/roussos_2024.childhood.GLU/rs6449715_count_position.png",4,220,900)</f>
        <v/>
      </c>
      <c r="T3253">
        <f>IMAGE("https://mitra.stanford.edu/kundaje/oak/projects/neuro-variants/variant_position/credible/roussos_2024/variant_figures/roussos_2024.childhood.GLU/rs6449715_profile_position.png",4,220,900)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0.0585366893999999</v>
      </c>
      <c r="G3254" t="n">
        <v>0.1427683321366918</v>
      </c>
      <c r="H3254" t="n">
        <v>0.0134820589893109</v>
      </c>
      <c r="I3254" t="n">
        <v>0.323936020117871</v>
      </c>
      <c r="J3254" t="n">
        <v>0.0192784365438304</v>
      </c>
      <c r="K3254" t="n">
        <v>0.5027275675959539</v>
      </c>
      <c r="L3254" t="b">
        <v>0</v>
      </c>
      <c r="M3254" t="b">
        <v>0</v>
      </c>
      <c r="N3254" t="inlineStr">
        <is>
          <t>alt</t>
        </is>
      </c>
      <c r="O3254" t="n">
        <v>-60</v>
      </c>
      <c r="P3254" t="n">
        <v>0.003304</v>
      </c>
      <c r="Q3254" t="n">
        <v>-95</v>
      </c>
      <c r="R3254" t="n">
        <v>0.0757</v>
      </c>
      <c r="S3254">
        <f>IMAGE("https://mitra.stanford.edu/kundaje/oak/projects/neuro-variants/variant_position/credible/roussos_2024/variant_figures/roussos_2024.childhood.GLU/rs1526875_count_position.png",4,220,900)</f>
        <v/>
      </c>
      <c r="T3254">
        <f>IMAGE("https://mitra.stanford.edu/kundaje/oak/projects/neuro-variants/variant_position/credible/roussos_2024/variant_figures/roussos_2024.childhood.GLU/rs1526875_profile_position.png",4,220,900)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-0.00640911936</v>
      </c>
      <c r="G3255" t="n">
        <v>0.624066005697955</v>
      </c>
      <c r="H3255" t="n">
        <v>0.024611501303922</v>
      </c>
      <c r="I3255" t="n">
        <v>0.0464876538823143</v>
      </c>
      <c r="J3255" t="n">
        <v>0.0100373968495986</v>
      </c>
      <c r="K3255" t="n">
        <v>0.5891404703122524</v>
      </c>
      <c r="L3255" t="b">
        <v>0</v>
      </c>
      <c r="M3255" t="b">
        <v>0</v>
      </c>
      <c r="N3255" t="inlineStr">
        <is>
          <t>ref</t>
        </is>
      </c>
      <c r="O3255" t="n">
        <v>75</v>
      </c>
      <c r="P3255" t="n">
        <v>0.002094</v>
      </c>
      <c r="Q3255" t="n">
        <v>-100</v>
      </c>
      <c r="R3255" t="n">
        <v>0.2651</v>
      </c>
      <c r="S3255">
        <f>IMAGE("https://mitra.stanford.edu/kundaje/oak/projects/neuro-variants/variant_position/credible/roussos_2024/variant_figures/roussos_2024.childhood.GLU/rs7732201_count_position.png",4,220,900)</f>
        <v/>
      </c>
      <c r="T3255">
        <f>IMAGE("https://mitra.stanford.edu/kundaje/oak/projects/neuro-variants/variant_position/credible/roussos_2024/variant_figures/roussos_2024.childhood.GLU/rs7732201_profile_position.png",4,220,900)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-0.00495677896</v>
      </c>
      <c r="G3256" t="n">
        <v>0.8150617908024712</v>
      </c>
      <c r="H3256" t="n">
        <v>0.0183982389886347</v>
      </c>
      <c r="I3256" t="n">
        <v>0.1314807256303436</v>
      </c>
      <c r="J3256" t="n">
        <v>0.0003801497934416</v>
      </c>
      <c r="K3256" t="n">
        <v>0.8920848168163403</v>
      </c>
      <c r="L3256" t="b">
        <v>0</v>
      </c>
      <c r="M3256" t="b">
        <v>0</v>
      </c>
      <c r="N3256" t="inlineStr">
        <is>
          <t>ref</t>
        </is>
      </c>
      <c r="O3256" t="n">
        <v>-35</v>
      </c>
      <c r="P3256" t="n">
        <v>0.00116</v>
      </c>
      <c r="Q3256" t="n">
        <v>-70</v>
      </c>
      <c r="R3256" t="n">
        <v>0.03284</v>
      </c>
      <c r="S3256">
        <f>IMAGE("https://mitra.stanford.edu/kundaje/oak/projects/neuro-variants/variant_position/credible/roussos_2024/variant_figures/roussos_2024.childhood.GLU/rs10056417_count_position.png",4,220,900)</f>
        <v/>
      </c>
      <c r="T3256">
        <f>IMAGE("https://mitra.stanford.edu/kundaje/oak/projects/neuro-variants/variant_position/credible/roussos_2024/variant_figures/roussos_2024.childhood.GLU/rs10056417_profile_position.png",4,220,900)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-0.0710897144</v>
      </c>
      <c r="G3257" t="n">
        <v>0.1043001425071198</v>
      </c>
      <c r="H3257" t="n">
        <v>0.014018374221053</v>
      </c>
      <c r="I3257" t="n">
        <v>0.3084007670843368</v>
      </c>
      <c r="J3257" t="n">
        <v>0.0016905848537607</v>
      </c>
      <c r="K3257" t="n">
        <v>0.7779012960324154</v>
      </c>
      <c r="L3257" t="b">
        <v>0</v>
      </c>
      <c r="M3257" t="b">
        <v>0</v>
      </c>
      <c r="N3257" t="inlineStr">
        <is>
          <t>ref</t>
        </is>
      </c>
      <c r="O3257" t="n">
        <v>-80</v>
      </c>
      <c r="P3257" t="n">
        <v>0.003754</v>
      </c>
      <c r="Q3257" t="n">
        <v>95</v>
      </c>
      <c r="R3257" t="n">
        <v>0.0868</v>
      </c>
      <c r="S3257">
        <f>IMAGE("https://mitra.stanford.edu/kundaje/oak/projects/neuro-variants/variant_position/credible/roussos_2024/variant_figures/roussos_2024.childhood.GLU/rs28615727_count_position.png",4,220,900)</f>
        <v/>
      </c>
      <c r="T3257">
        <f>IMAGE("https://mitra.stanford.edu/kundaje/oak/projects/neuro-variants/variant_position/credible/roussos_2024/variant_figures/roussos_2024.childhood.GLU/rs28615727_profile_position.png",4,220,900)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-0.0394418338</v>
      </c>
      <c r="G3258" t="n">
        <v>0.1975116311384667</v>
      </c>
      <c r="H3258" t="n">
        <v>0.0106455610827914</v>
      </c>
      <c r="I3258" t="n">
        <v>0.5850334427257372</v>
      </c>
      <c r="J3258" t="n">
        <v>0.0174858602820731</v>
      </c>
      <c r="K3258" t="n">
        <v>0.5064329244236614</v>
      </c>
      <c r="L3258" t="b">
        <v>0</v>
      </c>
      <c r="M3258" t="b">
        <v>0</v>
      </c>
      <c r="N3258" t="inlineStr">
        <is>
          <t>ref</t>
        </is>
      </c>
      <c r="O3258" t="n">
        <v>100</v>
      </c>
      <c r="P3258" t="n">
        <v>0.11816</v>
      </c>
      <c r="Q3258" t="n">
        <v>40</v>
      </c>
      <c r="R3258" t="n">
        <v>0.03174</v>
      </c>
      <c r="S3258">
        <f>IMAGE("https://mitra.stanford.edu/kundaje/oak/projects/neuro-variants/variant_position/credible/roussos_2024/variant_figures/roussos_2024.childhood.GLU/rs6449731_count_position.png",4,220,900)</f>
        <v/>
      </c>
      <c r="T3258">
        <f>IMAGE("https://mitra.stanford.edu/kundaje/oak/projects/neuro-variants/variant_position/credible/roussos_2024/variant_figures/roussos_2024.childhood.GLU/rs6449731_profile_position.png",4,220,900)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0.0504101158</v>
      </c>
      <c r="G3259" t="n">
        <v>0.1739627589452698</v>
      </c>
      <c r="H3259" t="n">
        <v>0.0188824932671815</v>
      </c>
      <c r="I3259" t="n">
        <v>0.1180073047117707</v>
      </c>
      <c r="J3259" t="n">
        <v>0.0019059000484201</v>
      </c>
      <c r="K3259" t="n">
        <v>0.7768947783621813</v>
      </c>
      <c r="L3259" t="b">
        <v>0</v>
      </c>
      <c r="M3259" t="b">
        <v>0</v>
      </c>
      <c r="N3259" t="inlineStr">
        <is>
          <t>alt</t>
        </is>
      </c>
      <c r="O3259" t="n">
        <v>-35</v>
      </c>
      <c r="P3259" t="n">
        <v>0.00327</v>
      </c>
      <c r="Q3259" t="n">
        <v>50</v>
      </c>
      <c r="R3259" t="n">
        <v>0.04138</v>
      </c>
      <c r="S3259">
        <f>IMAGE("https://mitra.stanford.edu/kundaje/oak/projects/neuro-variants/variant_position/credible/roussos_2024/variant_figures/roussos_2024.childhood.GLU/rs11949865_count_position.png",4,220,900)</f>
        <v/>
      </c>
      <c r="T3259">
        <f>IMAGE("https://mitra.stanford.edu/kundaje/oak/projects/neuro-variants/variant_position/credible/roussos_2024/variant_figures/roussos_2024.childhood.GLU/rs11949865_profile_position.png",4,220,900)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0.2774250219999999</v>
      </c>
      <c r="G3260" t="n">
        <v>0.002749608131242</v>
      </c>
      <c r="H3260" t="n">
        <v>0.0413445018550336</v>
      </c>
      <c r="I3260" t="n">
        <v>0.005745963934444</v>
      </c>
      <c r="J3260" t="n">
        <v>0.0210380458858313</v>
      </c>
      <c r="K3260" t="n">
        <v>0.4901382435770887</v>
      </c>
      <c r="L3260" t="b">
        <v>1</v>
      </c>
      <c r="M3260" t="b">
        <v>1</v>
      </c>
      <c r="N3260" t="inlineStr">
        <is>
          <t>alt</t>
        </is>
      </c>
      <c r="O3260" t="n">
        <v>-100</v>
      </c>
      <c r="P3260" t="n">
        <v>0.04614</v>
      </c>
      <c r="Q3260" t="n">
        <v>-20</v>
      </c>
      <c r="R3260" t="n">
        <v>0.03748</v>
      </c>
      <c r="S3260">
        <f>IMAGE("https://mitra.stanford.edu/kundaje/oak/projects/neuro-variants/variant_position/credible/roussos_2024/variant_figures/roussos_2024.childhood.GLU/rs4084594_count_position.png",4,220,900)</f>
        <v/>
      </c>
      <c r="T3260">
        <f>IMAGE("https://mitra.stanford.edu/kundaje/oak/projects/neuro-variants/variant_position/credible/roussos_2024/variant_figures/roussos_2024.childhood.GLU/rs4084594_profile_position.png",4,220,900)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-0.01261961022</v>
      </c>
      <c r="G3261" t="n">
        <v>0.6145388053545505</v>
      </c>
      <c r="H3261" t="n">
        <v>0.0216579971015408</v>
      </c>
      <c r="I3261" t="n">
        <v>0.074171696994314</v>
      </c>
      <c r="J3261" t="n">
        <v>0.0047420853637178</v>
      </c>
      <c r="K3261" t="n">
        <v>0.6856792434523847</v>
      </c>
      <c r="L3261" t="b">
        <v>0</v>
      </c>
      <c r="M3261" t="b">
        <v>0</v>
      </c>
      <c r="N3261" t="inlineStr">
        <is>
          <t>ref</t>
        </is>
      </c>
      <c r="O3261" t="n">
        <v>-70</v>
      </c>
      <c r="P3261" t="n">
        <v>0.00907</v>
      </c>
      <c r="Q3261" t="n">
        <v>100</v>
      </c>
      <c r="R3261" t="n">
        <v>0.0823</v>
      </c>
      <c r="S3261">
        <f>IMAGE("https://mitra.stanford.edu/kundaje/oak/projects/neuro-variants/variant_position/credible/roussos_2024/variant_figures/roussos_2024.childhood.GLU/rs7735729_count_position.png",4,220,900)</f>
        <v/>
      </c>
      <c r="T3261">
        <f>IMAGE("https://mitra.stanford.edu/kundaje/oak/projects/neuro-variants/variant_position/credible/roussos_2024/variant_figures/roussos_2024.childhood.GLU/rs7735729_profile_position.png",4,220,900)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-0.0196418202</v>
      </c>
      <c r="G3262" t="n">
        <v>0.4777181028182706</v>
      </c>
      <c r="H3262" t="n">
        <v>0.0262086441517063</v>
      </c>
      <c r="I3262" t="n">
        <v>0.0360620654377538</v>
      </c>
      <c r="J3262" t="n">
        <v>0.0010951198656597</v>
      </c>
      <c r="K3262" t="n">
        <v>0.8403529120692432</v>
      </c>
      <c r="L3262" t="b">
        <v>0</v>
      </c>
      <c r="M3262" t="b">
        <v>0</v>
      </c>
      <c r="N3262" t="inlineStr">
        <is>
          <t>ref</t>
        </is>
      </c>
      <c r="O3262" t="n">
        <v>-75</v>
      </c>
      <c r="P3262" t="n">
        <v>0.01339</v>
      </c>
      <c r="Q3262" t="n">
        <v>-75</v>
      </c>
      <c r="R3262" t="n">
        <v>0.2421</v>
      </c>
      <c r="S3262">
        <f>IMAGE("https://mitra.stanford.edu/kundaje/oak/projects/neuro-variants/variant_position/credible/roussos_2024/variant_figures/roussos_2024.childhood.GLU/rs7736758_count_position.png",4,220,900)</f>
        <v/>
      </c>
      <c r="T3262">
        <f>IMAGE("https://mitra.stanford.edu/kundaje/oak/projects/neuro-variants/variant_position/credible/roussos_2024/variant_figures/roussos_2024.childhood.GLU/rs7736758_profile_position.png",4,220,900)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0.0470440392</v>
      </c>
      <c r="G3263" t="n">
        <v>0.1963875525896919</v>
      </c>
      <c r="H3263" t="n">
        <v>0.0238244795331976</v>
      </c>
      <c r="I3263" t="n">
        <v>0.0517417551533191</v>
      </c>
      <c r="J3263" t="n">
        <v>0.0189724623198408</v>
      </c>
      <c r="K3263" t="n">
        <v>0.5001595623350755</v>
      </c>
      <c r="L3263" t="b">
        <v>0</v>
      </c>
      <c r="M3263" t="b">
        <v>0</v>
      </c>
      <c r="N3263" t="inlineStr">
        <is>
          <t>alt</t>
        </is>
      </c>
      <c r="O3263" t="n">
        <v>-20</v>
      </c>
      <c r="P3263" t="n">
        <v>0.001383</v>
      </c>
      <c r="Q3263" t="n">
        <v>-95</v>
      </c>
      <c r="R3263" t="n">
        <v>0.1333</v>
      </c>
      <c r="S3263">
        <f>IMAGE("https://mitra.stanford.edu/kundaje/oak/projects/neuro-variants/variant_position/credible/roussos_2024/variant_figures/roussos_2024.childhood.GLU/rs4470714_count_position.png",4,220,900)</f>
        <v/>
      </c>
      <c r="T3263">
        <f>IMAGE("https://mitra.stanford.edu/kundaje/oak/projects/neuro-variants/variant_position/credible/roussos_2024/variant_figures/roussos_2024.childhood.GLU/rs4470714_profile_position.png",4,220,900)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0.0107861111919999</v>
      </c>
      <c r="G3264" t="n">
        <v>0.6534404048359813</v>
      </c>
      <c r="H3264" t="n">
        <v>0.0189299878072748</v>
      </c>
      <c r="I3264" t="n">
        <v>0.1210766155329557</v>
      </c>
      <c r="J3264" t="n">
        <v>0.0423645523195318</v>
      </c>
      <c r="K3264" t="n">
        <v>0.3790002830643616</v>
      </c>
      <c r="L3264" t="b">
        <v>0</v>
      </c>
      <c r="M3264" t="b">
        <v>0</v>
      </c>
      <c r="N3264" t="inlineStr">
        <is>
          <t>alt</t>
        </is>
      </c>
      <c r="O3264" t="n">
        <v>100</v>
      </c>
      <c r="P3264" t="n">
        <v>0.01001</v>
      </c>
      <c r="Q3264" t="n">
        <v>100</v>
      </c>
      <c r="R3264" t="n">
        <v>0.1344</v>
      </c>
      <c r="S3264">
        <f>IMAGE("https://mitra.stanford.edu/kundaje/oak/projects/neuro-variants/variant_position/credible/roussos_2024/variant_figures/roussos_2024.childhood.GLU/rs1903305_count_position.png",4,220,900)</f>
        <v/>
      </c>
      <c r="T3264">
        <f>IMAGE("https://mitra.stanford.edu/kundaje/oak/projects/neuro-variants/variant_position/credible/roussos_2024/variant_figures/roussos_2024.childhood.GLU/rs1903305_profile_position.png",4,220,900)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-0.0077764884</v>
      </c>
      <c r="G3265" t="n">
        <v>0.6388972500210967</v>
      </c>
      <c r="H3265" t="n">
        <v>0.0199320659635999</v>
      </c>
      <c r="I3265" t="n">
        <v>0.0982663351910372</v>
      </c>
      <c r="J3265" t="n">
        <v>0.0527151349068168</v>
      </c>
      <c r="K3265" t="n">
        <v>0.3542198110189365</v>
      </c>
      <c r="L3265" t="b">
        <v>0</v>
      </c>
      <c r="M3265" t="b">
        <v>0</v>
      </c>
      <c r="N3265" t="inlineStr">
        <is>
          <t>ref</t>
        </is>
      </c>
      <c r="O3265" t="n">
        <v>100</v>
      </c>
      <c r="P3265" t="n">
        <v>0.015564</v>
      </c>
      <c r="Q3265" t="n">
        <v>-80</v>
      </c>
      <c r="R3265" t="n">
        <v>0.10034</v>
      </c>
      <c r="S3265">
        <f>IMAGE("https://mitra.stanford.edu/kundaje/oak/projects/neuro-variants/variant_position/credible/roussos_2024/variant_figures/roussos_2024.childhood.GLU/rs75930101_count_position.png",4,220,900)</f>
        <v/>
      </c>
      <c r="T3265">
        <f>IMAGE("https://mitra.stanford.edu/kundaje/oak/projects/neuro-variants/variant_position/credible/roussos_2024/variant_figures/roussos_2024.childhood.GLU/rs75930101_profile_position.png",4,220,900)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-0.0345394185999999</v>
      </c>
      <c r="G3266" t="n">
        <v>0.3005755235912646</v>
      </c>
      <c r="H3266" t="n">
        <v>0.009826977971102199</v>
      </c>
      <c r="I3266" t="n">
        <v>0.6811190409849642</v>
      </c>
      <c r="J3266" t="n">
        <v>0.0350057177001452</v>
      </c>
      <c r="K3266" t="n">
        <v>0.4004721968386899</v>
      </c>
      <c r="L3266" t="b">
        <v>0</v>
      </c>
      <c r="M3266" t="b">
        <v>0</v>
      </c>
      <c r="N3266" t="inlineStr">
        <is>
          <t>ref</t>
        </is>
      </c>
      <c r="O3266" t="n">
        <v>20</v>
      </c>
      <c r="P3266" t="n">
        <v>0.001601</v>
      </c>
      <c r="Q3266" t="n">
        <v>55</v>
      </c>
      <c r="R3266" t="n">
        <v>0.1033</v>
      </c>
      <c r="S3266">
        <f>IMAGE("https://mitra.stanford.edu/kundaje/oak/projects/neuro-variants/variant_position/credible/roussos_2024/variant_figures/roussos_2024.childhood.GLU/rs17508283_count_position.png",4,220,900)</f>
        <v/>
      </c>
      <c r="T3266">
        <f>IMAGE("https://mitra.stanford.edu/kundaje/oak/projects/neuro-variants/variant_position/credible/roussos_2024/variant_figures/roussos_2024.childhood.GLU/rs17508283_profile_position.png",4,220,900)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-0.041507516</v>
      </c>
      <c r="G3267" t="n">
        <v>0.2721919492542307</v>
      </c>
      <c r="H3267" t="n">
        <v>0.0173371018469766</v>
      </c>
      <c r="I3267" t="n">
        <v>0.1659543500955209</v>
      </c>
      <c r="J3267" t="n">
        <v>0.0100415177145682</v>
      </c>
      <c r="K3267" t="n">
        <v>0.5998372424423979</v>
      </c>
      <c r="L3267" t="b">
        <v>0</v>
      </c>
      <c r="M3267" t="b">
        <v>0</v>
      </c>
      <c r="N3267" t="inlineStr">
        <is>
          <t>ref</t>
        </is>
      </c>
      <c r="O3267" t="n">
        <v>35</v>
      </c>
      <c r="P3267" t="n">
        <v>0.00821</v>
      </c>
      <c r="Q3267" t="n">
        <v>-100</v>
      </c>
      <c r="R3267" t="n">
        <v>0.1793</v>
      </c>
      <c r="S3267">
        <f>IMAGE("https://mitra.stanford.edu/kundaje/oak/projects/neuro-variants/variant_position/credible/roussos_2024/variant_figures/roussos_2024.childhood.GLU/rs12109397_count_position.png",4,220,900)</f>
        <v/>
      </c>
      <c r="T3267">
        <f>IMAGE("https://mitra.stanford.edu/kundaje/oak/projects/neuro-variants/variant_position/credible/roussos_2024/variant_figures/roussos_2024.childhood.GLU/rs12109397_profile_position.png",4,220,900)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-0.00091452956</v>
      </c>
      <c r="G3268" t="n">
        <v>0.806904567174283</v>
      </c>
      <c r="H3268" t="n">
        <v>0.0104107451809644</v>
      </c>
      <c r="I3268" t="n">
        <v>0.6157425838854892</v>
      </c>
      <c r="J3268" t="n">
        <v>0.0001442302739344</v>
      </c>
      <c r="K3268" t="n">
        <v>0.927834143842781</v>
      </c>
      <c r="L3268" t="b">
        <v>0</v>
      </c>
      <c r="M3268" t="b">
        <v>0</v>
      </c>
      <c r="N3268" t="inlineStr">
        <is>
          <t>ref</t>
        </is>
      </c>
      <c r="O3268" t="n">
        <v>-100</v>
      </c>
      <c r="P3268" t="n">
        <v>0.004684</v>
      </c>
      <c r="Q3268" t="n">
        <v>100</v>
      </c>
      <c r="R3268" t="n">
        <v>0.0636</v>
      </c>
      <c r="S3268">
        <f>IMAGE("https://mitra.stanford.edu/kundaje/oak/projects/neuro-variants/variant_position/credible/roussos_2024/variant_figures/roussos_2024.childhood.GLU/rs10070532_count_position.png",4,220,900)</f>
        <v/>
      </c>
      <c r="T3268">
        <f>IMAGE("https://mitra.stanford.edu/kundaje/oak/projects/neuro-variants/variant_position/credible/roussos_2024/variant_figures/roussos_2024.childhood.GLU/rs10070532_profile_position.png",4,220,900)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0.01688661576</v>
      </c>
      <c r="G3269" t="n">
        <v>0.5225905664544555</v>
      </c>
      <c r="H3269" t="n">
        <v>0.0330723082027149</v>
      </c>
      <c r="I3269" t="n">
        <v>0.0142637270865578</v>
      </c>
      <c r="J3269" t="n">
        <v>0.0012445012208061</v>
      </c>
      <c r="K3269" t="n">
        <v>0.8048994986110974</v>
      </c>
      <c r="L3269" t="b">
        <v>0</v>
      </c>
      <c r="M3269" t="b">
        <v>0</v>
      </c>
      <c r="N3269" t="inlineStr">
        <is>
          <t>alt</t>
        </is>
      </c>
      <c r="O3269" t="n">
        <v>-70</v>
      </c>
      <c r="P3269" t="n">
        <v>0.013824</v>
      </c>
      <c r="Q3269" t="n">
        <v>65</v>
      </c>
      <c r="R3269" t="n">
        <v>0.08935999999999999</v>
      </c>
      <c r="S3269">
        <f>IMAGE("https://mitra.stanford.edu/kundaje/oak/projects/neuro-variants/variant_position/credible/roussos_2024/variant_figures/roussos_2024.childhood.GLU/rs2939257_count_position.png",4,220,900)</f>
        <v/>
      </c>
      <c r="T3269">
        <f>IMAGE("https://mitra.stanford.edu/kundaje/oak/projects/neuro-variants/variant_position/credible/roussos_2024/variant_figures/roussos_2024.childhood.GLU/rs2939257_profile_position.png",4,220,900)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0.0488862943999999</v>
      </c>
      <c r="G3270" t="n">
        <v>0.183324464841226</v>
      </c>
      <c r="H3270" t="n">
        <v>0.0134282182646101</v>
      </c>
      <c r="I3270" t="n">
        <v>0.3376682786434689</v>
      </c>
      <c r="J3270" t="n">
        <v>0.0070260747730948</v>
      </c>
      <c r="K3270" t="n">
        <v>0.6465595820967649</v>
      </c>
      <c r="L3270" t="b">
        <v>0</v>
      </c>
      <c r="M3270" t="b">
        <v>0</v>
      </c>
      <c r="N3270" t="inlineStr">
        <is>
          <t>alt</t>
        </is>
      </c>
      <c r="O3270" t="n">
        <v>-80</v>
      </c>
      <c r="P3270" t="n">
        <v>0.013794</v>
      </c>
      <c r="Q3270" t="n">
        <v>50</v>
      </c>
      <c r="R3270" t="n">
        <v>0.0696</v>
      </c>
      <c r="S3270">
        <f>IMAGE("https://mitra.stanford.edu/kundaje/oak/projects/neuro-variants/variant_position/credible/roussos_2024/variant_figures/roussos_2024.childhood.GLU/rs2935244_count_position.png",4,220,900)</f>
        <v/>
      </c>
      <c r="T3270">
        <f>IMAGE("https://mitra.stanford.edu/kundaje/oak/projects/neuro-variants/variant_position/credible/roussos_2024/variant_figures/roussos_2024.childhood.GLU/rs2935244_profile_position.png",4,220,900)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0.0274700835</v>
      </c>
      <c r="G3271" t="n">
        <v>0.3507824030915898</v>
      </c>
      <c r="H3271" t="n">
        <v>0.0237607361702185</v>
      </c>
      <c r="I3271" t="n">
        <v>0.0522081473701921</v>
      </c>
      <c r="J3271" t="n">
        <v>0.0004326908218034</v>
      </c>
      <c r="K3271" t="n">
        <v>0.8831926451228583</v>
      </c>
      <c r="L3271" t="b">
        <v>0</v>
      </c>
      <c r="M3271" t="b">
        <v>0</v>
      </c>
      <c r="N3271" t="inlineStr">
        <is>
          <t>alt</t>
        </is>
      </c>
      <c r="O3271" t="n">
        <v>75</v>
      </c>
      <c r="P3271" t="n">
        <v>0.0108</v>
      </c>
      <c r="Q3271" t="n">
        <v>80</v>
      </c>
      <c r="R3271" t="n">
        <v>0.1667</v>
      </c>
      <c r="S3271">
        <f>IMAGE("https://mitra.stanford.edu/kundaje/oak/projects/neuro-variants/variant_position/credible/roussos_2024/variant_figures/roussos_2024.childhood.GLU/rs2973827_count_position.png",4,220,900)</f>
        <v/>
      </c>
      <c r="T3271">
        <f>IMAGE("https://mitra.stanford.edu/kundaje/oak/projects/neuro-variants/variant_position/credible/roussos_2024/variant_figures/roussos_2024.childhood.GLU/rs2973827_profile_position.png",4,220,900)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0.0155884749</v>
      </c>
      <c r="G3272" t="n">
        <v>0.4346863299981748</v>
      </c>
      <c r="H3272" t="n">
        <v>0.0106402311331607</v>
      </c>
      <c r="I3272" t="n">
        <v>0.5749198381785877</v>
      </c>
      <c r="J3272" t="n">
        <v>0.0071290963973337</v>
      </c>
      <c r="K3272" t="n">
        <v>0.636763540039134</v>
      </c>
      <c r="L3272" t="b">
        <v>0</v>
      </c>
      <c r="M3272" t="b">
        <v>0</v>
      </c>
      <c r="N3272" t="inlineStr">
        <is>
          <t>alt</t>
        </is>
      </c>
      <c r="O3272" t="n">
        <v>-85</v>
      </c>
      <c r="P3272" t="n">
        <v>0.01143</v>
      </c>
      <c r="Q3272" t="n">
        <v>40</v>
      </c>
      <c r="R3272" t="n">
        <v>0.0271</v>
      </c>
      <c r="S3272">
        <f>IMAGE("https://mitra.stanford.edu/kundaje/oak/projects/neuro-variants/variant_position/credible/roussos_2024/variant_figures/roussos_2024.childhood.GLU/rs2939246_count_position.png",4,220,900)</f>
        <v/>
      </c>
      <c r="T3272">
        <f>IMAGE("https://mitra.stanford.edu/kundaje/oak/projects/neuro-variants/variant_position/credible/roussos_2024/variant_figures/roussos_2024.childhood.GLU/rs2939246_profile_position.png",4,220,900)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-0.01027041068</v>
      </c>
      <c r="G3273" t="n">
        <v>0.6608600293704403</v>
      </c>
      <c r="H3273" t="n">
        <v>0.0261484647082645</v>
      </c>
      <c r="I3273" t="n">
        <v>0.0365042557790067</v>
      </c>
      <c r="J3273" t="n">
        <v>0.0002287080058103</v>
      </c>
      <c r="K3273" t="n">
        <v>0.9146978910038224</v>
      </c>
      <c r="L3273" t="b">
        <v>0</v>
      </c>
      <c r="M3273" t="b">
        <v>0</v>
      </c>
      <c r="N3273" t="inlineStr">
        <is>
          <t>ref</t>
        </is>
      </c>
      <c r="O3273" t="n">
        <v>-25</v>
      </c>
      <c r="P3273" t="n">
        <v>0.001465</v>
      </c>
      <c r="Q3273" t="n">
        <v>-95</v>
      </c>
      <c r="R3273" t="n">
        <v>0.02423</v>
      </c>
      <c r="S3273">
        <f>IMAGE("https://mitra.stanford.edu/kundaje/oak/projects/neuro-variants/variant_position/credible/roussos_2024/variant_figures/roussos_2024.childhood.GLU/rs2973829_count_position.png",4,220,900)</f>
        <v/>
      </c>
      <c r="T3273">
        <f>IMAGE("https://mitra.stanford.edu/kundaje/oak/projects/neuro-variants/variant_position/credible/roussos_2024/variant_figures/roussos_2024.childhood.GLU/rs2973829_profile_position.png",4,220,900)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0.1207409692</v>
      </c>
      <c r="G3274" t="n">
        <v>0.0291123080739812</v>
      </c>
      <c r="H3274" t="n">
        <v>0.0323842996270106</v>
      </c>
      <c r="I3274" t="n">
        <v>0.0162779767799078</v>
      </c>
      <c r="J3274" t="n">
        <v>0.051178052273172</v>
      </c>
      <c r="K3274" t="n">
        <v>0.3509304085265737</v>
      </c>
      <c r="L3274" t="b">
        <v>1</v>
      </c>
      <c r="M3274" t="b">
        <v>0</v>
      </c>
      <c r="N3274" t="inlineStr">
        <is>
          <t>alt</t>
        </is>
      </c>
      <c r="O3274" t="n">
        <v>-100</v>
      </c>
      <c r="P3274" t="n">
        <v>0.001118</v>
      </c>
      <c r="Q3274" t="n">
        <v>-50</v>
      </c>
      <c r="R3274" t="n">
        <v>0.0988</v>
      </c>
      <c r="S3274">
        <f>IMAGE("https://mitra.stanford.edu/kundaje/oak/projects/neuro-variants/variant_position/credible/roussos_2024/variant_figures/roussos_2024.childhood.GLU/rs2973831_count_position.png",4,220,900)</f>
        <v/>
      </c>
      <c r="T3274">
        <f>IMAGE("https://mitra.stanford.edu/kundaje/oak/projects/neuro-variants/variant_position/credible/roussos_2024/variant_figures/roussos_2024.childhood.GLU/rs2973831_profile_position.png",4,220,900)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0.0148871937</v>
      </c>
      <c r="G3275" t="n">
        <v>0.3749683714725105</v>
      </c>
      <c r="H3275" t="n">
        <v>0.0199847964368497</v>
      </c>
      <c r="I3275" t="n">
        <v>0.1073986553519532</v>
      </c>
      <c r="J3275" t="n">
        <v>0.0561179391554286</v>
      </c>
      <c r="K3275" t="n">
        <v>0.3307921878935848</v>
      </c>
      <c r="L3275" t="b">
        <v>0</v>
      </c>
      <c r="M3275" t="b">
        <v>0</v>
      </c>
      <c r="N3275" t="inlineStr">
        <is>
          <t>alt</t>
        </is>
      </c>
      <c r="O3275" t="n">
        <v>-95</v>
      </c>
      <c r="P3275" t="n">
        <v>0.002243</v>
      </c>
      <c r="Q3275" t="n">
        <v>85</v>
      </c>
      <c r="R3275" t="n">
        <v>0.09669999999999999</v>
      </c>
      <c r="S3275">
        <f>IMAGE("https://mitra.stanford.edu/kundaje/oak/projects/neuro-variants/variant_position/credible/roussos_2024/variant_figures/roussos_2024.childhood.GLU/rs9327836_count_position.png",4,220,900)</f>
        <v/>
      </c>
      <c r="T3275">
        <f>IMAGE("https://mitra.stanford.edu/kundaje/oak/projects/neuro-variants/variant_position/credible/roussos_2024/variant_figures/roussos_2024.childhood.GLU/rs9327836_profile_position.png",4,220,900)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0.078200178</v>
      </c>
      <c r="G3276" t="n">
        <v>0.0840612051755646</v>
      </c>
      <c r="H3276" t="n">
        <v>0.0299179835664441</v>
      </c>
      <c r="I3276" t="n">
        <v>0.0223418749838908</v>
      </c>
      <c r="J3276" t="n">
        <v>0.0744506371887458</v>
      </c>
      <c r="K3276" t="n">
        <v>0.2894400091629172</v>
      </c>
      <c r="L3276" t="b">
        <v>0</v>
      </c>
      <c r="M3276" t="b">
        <v>0</v>
      </c>
      <c r="N3276" t="inlineStr">
        <is>
          <t>alt</t>
        </is>
      </c>
      <c r="O3276" t="n">
        <v>-70</v>
      </c>
      <c r="P3276" t="n">
        <v>0.003319</v>
      </c>
      <c r="Q3276" t="n">
        <v>80</v>
      </c>
      <c r="R3276" t="n">
        <v>0.1011</v>
      </c>
      <c r="S3276">
        <f>IMAGE("https://mitra.stanford.edu/kundaje/oak/projects/neuro-variants/variant_position/credible/roussos_2024/variant_figures/roussos_2024.childhood.GLU/rs6884162_count_position.png",4,220,900)</f>
        <v/>
      </c>
      <c r="T3276">
        <f>IMAGE("https://mitra.stanford.edu/kundaje/oak/projects/neuro-variants/variant_position/credible/roussos_2024/variant_figures/roussos_2024.childhood.GLU/rs6884162_profile_position.png",4,220,900)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0.01796260874</v>
      </c>
      <c r="G3277" t="n">
        <v>0.511747925707434</v>
      </c>
      <c r="H3277" t="n">
        <v>0.0126021120001894</v>
      </c>
      <c r="I3277" t="n">
        <v>0.3982543282500046</v>
      </c>
      <c r="J3277" t="n">
        <v>0.0068859653641298</v>
      </c>
      <c r="K3277" t="n">
        <v>0.6326476136531405</v>
      </c>
      <c r="L3277" t="b">
        <v>0</v>
      </c>
      <c r="M3277" t="b">
        <v>0</v>
      </c>
      <c r="N3277" t="inlineStr">
        <is>
          <t>alt</t>
        </is>
      </c>
      <c r="O3277" t="n">
        <v>-45</v>
      </c>
      <c r="P3277" t="n">
        <v>0.00586</v>
      </c>
      <c r="Q3277" t="n">
        <v>60</v>
      </c>
      <c r="R3277" t="n">
        <v>0.04346</v>
      </c>
      <c r="S3277">
        <f>IMAGE("https://mitra.stanford.edu/kundaje/oak/projects/neuro-variants/variant_position/credible/roussos_2024/variant_figures/roussos_2024.childhood.GLU/rs1452060_count_position.png",4,220,900)</f>
        <v/>
      </c>
      <c r="T3277">
        <f>IMAGE("https://mitra.stanford.edu/kundaje/oak/projects/neuro-variants/variant_position/credible/roussos_2024/variant_figures/roussos_2024.childhood.GLU/rs1452060_profile_position.png",4,220,900)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-0.1168161312</v>
      </c>
      <c r="G3278" t="n">
        <v>0.048238897187183</v>
      </c>
      <c r="H3278" t="n">
        <v>0.0271781962251322</v>
      </c>
      <c r="I3278" t="n">
        <v>0.0328234436818841</v>
      </c>
      <c r="J3278" t="n">
        <v>0.0369342825058979</v>
      </c>
      <c r="K3278" t="n">
        <v>0.4242024979286012</v>
      </c>
      <c r="L3278" t="b">
        <v>0</v>
      </c>
      <c r="M3278" t="b">
        <v>0</v>
      </c>
      <c r="N3278" t="inlineStr">
        <is>
          <t>ref</t>
        </is>
      </c>
      <c r="O3278" t="n">
        <v>-5</v>
      </c>
      <c r="P3278" t="n">
        <v>0.000538</v>
      </c>
      <c r="Q3278" t="n">
        <v>95</v>
      </c>
      <c r="R3278" t="n">
        <v>0.04565</v>
      </c>
      <c r="S3278">
        <f>IMAGE("https://mitra.stanford.edu/kundaje/oak/projects/neuro-variants/variant_position/credible/roussos_2024/variant_figures/roussos_2024.childhood.GLU/rs1869103_count_position.png",4,220,900)</f>
        <v/>
      </c>
      <c r="T3278">
        <f>IMAGE("https://mitra.stanford.edu/kundaje/oak/projects/neuro-variants/variant_position/credible/roussos_2024/variant_figures/roussos_2024.childhood.GLU/rs1869103_profile_position.png",4,220,900)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0.2086792244</v>
      </c>
      <c r="G3279" t="n">
        <v>0.0096351010630902</v>
      </c>
      <c r="H3279" t="n">
        <v>0.0318069937040617</v>
      </c>
      <c r="I3279" t="n">
        <v>0.0194303763839189</v>
      </c>
      <c r="J3279" t="n">
        <v>0.0028897565599018</v>
      </c>
      <c r="K3279" t="n">
        <v>0.7484532017388539</v>
      </c>
      <c r="L3279" t="b">
        <v>1</v>
      </c>
      <c r="M3279" t="b">
        <v>1</v>
      </c>
      <c r="N3279" t="inlineStr">
        <is>
          <t>alt</t>
        </is>
      </c>
      <c r="O3279" t="n">
        <v>100</v>
      </c>
      <c r="P3279" t="n">
        <v>0.006927</v>
      </c>
      <c r="Q3279" t="n">
        <v>55</v>
      </c>
      <c r="R3279" t="n">
        <v>0.05298</v>
      </c>
      <c r="S3279">
        <f>IMAGE("https://mitra.stanford.edu/kundaje/oak/projects/neuro-variants/variant_position/credible/roussos_2024/variant_figures/roussos_2024.childhood.GLU/rs10079075_count_position.png",4,220,900)</f>
        <v/>
      </c>
      <c r="T3279">
        <f>IMAGE("https://mitra.stanford.edu/kundaje/oak/projects/neuro-variants/variant_position/credible/roussos_2024/variant_figures/roussos_2024.childhood.GLU/rs10079075_profile_position.png",4,220,900)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-0.0586087363999999</v>
      </c>
      <c r="G3280" t="n">
        <v>0.1418634053929343</v>
      </c>
      <c r="H3280" t="n">
        <v>0.0147047664253532</v>
      </c>
      <c r="I3280" t="n">
        <v>0.2605544446750831</v>
      </c>
      <c r="J3280" t="n">
        <v>0.0015515056610381</v>
      </c>
      <c r="K3280" t="n">
        <v>0.8001798987331815</v>
      </c>
      <c r="L3280" t="b">
        <v>0</v>
      </c>
      <c r="M3280" t="b">
        <v>0</v>
      </c>
      <c r="N3280" t="inlineStr">
        <is>
          <t>ref</t>
        </is>
      </c>
      <c r="O3280" t="n">
        <v>60</v>
      </c>
      <c r="P3280" t="n">
        <v>0.00528</v>
      </c>
      <c r="Q3280" t="n">
        <v>-45</v>
      </c>
      <c r="R3280" t="n">
        <v>0.077</v>
      </c>
      <c r="S3280">
        <f>IMAGE("https://mitra.stanford.edu/kundaje/oak/projects/neuro-variants/variant_position/credible/roussos_2024/variant_figures/roussos_2024.childhood.GLU/rs1823693_count_position.png",4,220,900)</f>
        <v/>
      </c>
      <c r="T3280">
        <f>IMAGE("https://mitra.stanford.edu/kundaje/oak/projects/neuro-variants/variant_position/credible/roussos_2024/variant_figures/roussos_2024.childhood.GLU/rs1823693_profile_position.png",4,220,900)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0.0989901199999999</v>
      </c>
      <c r="G3281" t="n">
        <v>0.047879416334032</v>
      </c>
      <c r="H3281" t="n">
        <v>0.0170817325765266</v>
      </c>
      <c r="I3281" t="n">
        <v>0.1647679831019908</v>
      </c>
      <c r="J3281" t="n">
        <v>0.0322560705492082</v>
      </c>
      <c r="K3281" t="n">
        <v>0.4214082224096011</v>
      </c>
      <c r="L3281" t="b">
        <v>0</v>
      </c>
      <c r="M3281" t="b">
        <v>0</v>
      </c>
      <c r="N3281" t="inlineStr">
        <is>
          <t>alt</t>
        </is>
      </c>
      <c r="O3281" t="n">
        <v>0</v>
      </c>
      <c r="P3281" t="n">
        <v>0</v>
      </c>
      <c r="Q3281" t="n">
        <v>90</v>
      </c>
      <c r="R3281" t="n">
        <v>0.0621</v>
      </c>
      <c r="S3281">
        <f>IMAGE("https://mitra.stanford.edu/kundaje/oak/projects/neuro-variants/variant_position/credible/roussos_2024/variant_figures/roussos_2024.childhood.GLU/rs1901510_count_position.png",4,220,900)</f>
        <v/>
      </c>
      <c r="T3281">
        <f>IMAGE("https://mitra.stanford.edu/kundaje/oak/projects/neuro-variants/variant_position/credible/roussos_2024/variant_figures/roussos_2024.childhood.GLU/rs1901510_profile_position.png",4,220,900)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-0.0488972997199999</v>
      </c>
      <c r="G3282" t="n">
        <v>0.2065067856207533</v>
      </c>
      <c r="H3282" t="n">
        <v>0.0207677033822457</v>
      </c>
      <c r="I3282" t="n">
        <v>0.0871242710402844</v>
      </c>
      <c r="J3282" t="n">
        <v>0.0083972925917149</v>
      </c>
      <c r="K3282" t="n">
        <v>0.6076557428413059</v>
      </c>
      <c r="L3282" t="b">
        <v>0</v>
      </c>
      <c r="M3282" t="b">
        <v>0</v>
      </c>
      <c r="N3282" t="inlineStr">
        <is>
          <t>ref</t>
        </is>
      </c>
      <c r="O3282" t="n">
        <v>-65</v>
      </c>
      <c r="P3282" t="n">
        <v>0.001495</v>
      </c>
      <c r="Q3282" t="n">
        <v>-65</v>
      </c>
      <c r="R3282" t="n">
        <v>0.0398</v>
      </c>
      <c r="S3282">
        <f>IMAGE("https://mitra.stanford.edu/kundaje/oak/projects/neuro-variants/variant_position/credible/roussos_2024/variant_figures/roussos_2024.childhood.GLU/rs2198246_count_position.png",4,220,900)</f>
        <v/>
      </c>
      <c r="T3282">
        <f>IMAGE("https://mitra.stanford.edu/kundaje/oak/projects/neuro-variants/variant_position/credible/roussos_2024/variant_figures/roussos_2024.childhood.GLU/rs2198246_profile_position.png",4,220,900)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0.08399227099999999</v>
      </c>
      <c r="G3283" t="n">
        <v>0.0664393602274191</v>
      </c>
      <c r="H3283" t="n">
        <v>0.015947587073458</v>
      </c>
      <c r="I3283" t="n">
        <v>0.2083733544829467</v>
      </c>
      <c r="J3283" t="n">
        <v>0.0118701515448092</v>
      </c>
      <c r="K3283" t="n">
        <v>0.5670973263921039</v>
      </c>
      <c r="L3283" t="b">
        <v>0</v>
      </c>
      <c r="M3283" t="b">
        <v>0</v>
      </c>
      <c r="N3283" t="inlineStr">
        <is>
          <t>alt</t>
        </is>
      </c>
      <c r="O3283" t="n">
        <v>-100</v>
      </c>
      <c r="P3283" t="n">
        <v>0.00567</v>
      </c>
      <c r="Q3283" t="n">
        <v>-40</v>
      </c>
      <c r="R3283" t="n">
        <v>0.02496</v>
      </c>
      <c r="S3283">
        <f>IMAGE("https://mitra.stanford.edu/kundaje/oak/projects/neuro-variants/variant_position/credible/roussos_2024/variant_figures/roussos_2024.childhood.GLU/rs7718122_count_position.png",4,220,900)</f>
        <v/>
      </c>
      <c r="T3283">
        <f>IMAGE("https://mitra.stanford.edu/kundaje/oak/projects/neuro-variants/variant_position/credible/roussos_2024/variant_figures/roussos_2024.childhood.GLU/rs7718122_profile_position.png",4,220,900)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-0.0921374732</v>
      </c>
      <c r="G3284" t="n">
        <v>0.0601323913201618</v>
      </c>
      <c r="H3284" t="n">
        <v>0.0133832476502087</v>
      </c>
      <c r="I3284" t="n">
        <v>0.356732580209636</v>
      </c>
      <c r="J3284" t="n">
        <v>0.0006201901779182</v>
      </c>
      <c r="K3284" t="n">
        <v>0.8562701593497515</v>
      </c>
      <c r="L3284" t="b">
        <v>0</v>
      </c>
      <c r="M3284" t="b">
        <v>0</v>
      </c>
      <c r="N3284" t="inlineStr">
        <is>
          <t>ref</t>
        </is>
      </c>
      <c r="O3284" t="n">
        <v>75</v>
      </c>
      <c r="P3284" t="n">
        <v>0.00132</v>
      </c>
      <c r="Q3284" t="n">
        <v>-55</v>
      </c>
      <c r="R3284" t="n">
        <v>0.1119</v>
      </c>
      <c r="S3284">
        <f>IMAGE("https://mitra.stanford.edu/kundaje/oak/projects/neuro-variants/variant_position/credible/roussos_2024/variant_figures/roussos_2024.childhood.GLU/rs6861350_count_position.png",4,220,900)</f>
        <v/>
      </c>
      <c r="T3284">
        <f>IMAGE("https://mitra.stanford.edu/kundaje/oak/projects/neuro-variants/variant_position/credible/roussos_2024/variant_figures/roussos_2024.childhood.GLU/rs6861350_profile_position.png",4,220,900)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-0.01049868828</v>
      </c>
      <c r="G3285" t="n">
        <v>0.6541889252065858</v>
      </c>
      <c r="H3285" t="n">
        <v>0.034381350098958</v>
      </c>
      <c r="I3285" t="n">
        <v>0.0123408835260037</v>
      </c>
      <c r="J3285" t="n">
        <v>0.000338941143746</v>
      </c>
      <c r="K3285" t="n">
        <v>0.8949356773992134</v>
      </c>
      <c r="L3285" t="b">
        <v>0</v>
      </c>
      <c r="M3285" t="b">
        <v>0</v>
      </c>
      <c r="N3285" t="inlineStr">
        <is>
          <t>ref</t>
        </is>
      </c>
      <c r="O3285" t="n">
        <v>65</v>
      </c>
      <c r="P3285" t="n">
        <v>0.01703</v>
      </c>
      <c r="Q3285" t="n">
        <v>-100</v>
      </c>
      <c r="R3285" t="n">
        <v>0.09093999999999999</v>
      </c>
      <c r="S3285">
        <f>IMAGE("https://mitra.stanford.edu/kundaje/oak/projects/neuro-variants/variant_position/credible/roussos_2024/variant_figures/roussos_2024.childhood.GLU/rs1597766_count_position.png",4,220,900)</f>
        <v/>
      </c>
      <c r="T3285">
        <f>IMAGE("https://mitra.stanford.edu/kundaje/oak/projects/neuro-variants/variant_position/credible/roussos_2024/variant_figures/roussos_2024.childhood.GLU/rs1597766_profile_position.png",4,220,900)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-0.003326441762</v>
      </c>
      <c r="G3286" t="n">
        <v>0.8710190669228556</v>
      </c>
      <c r="H3286" t="n">
        <v>0.024079856774917</v>
      </c>
      <c r="I3286" t="n">
        <v>0.0500911010534831</v>
      </c>
      <c r="J3286" t="n">
        <v>0.0001596835175703</v>
      </c>
      <c r="K3286" t="n">
        <v>0.9239974268490904</v>
      </c>
      <c r="L3286" t="b">
        <v>0</v>
      </c>
      <c r="M3286" t="b">
        <v>0</v>
      </c>
      <c r="N3286" t="inlineStr">
        <is>
          <t>ref</t>
        </is>
      </c>
      <c r="O3286" t="n">
        <v>-50</v>
      </c>
      <c r="P3286" t="n">
        <v>0.02203</v>
      </c>
      <c r="Q3286" t="n">
        <v>-100</v>
      </c>
      <c r="R3286" t="n">
        <v>0.07166</v>
      </c>
      <c r="S3286">
        <f>IMAGE("https://mitra.stanford.edu/kundaje/oak/projects/neuro-variants/variant_position/credible/roussos_2024/variant_figures/roussos_2024.childhood.GLU/rs10041806_count_position.png",4,220,900)</f>
        <v/>
      </c>
      <c r="T3286">
        <f>IMAGE("https://mitra.stanford.edu/kundaje/oak/projects/neuro-variants/variant_position/credible/roussos_2024/variant_figures/roussos_2024.childhood.GLU/rs10041806_profile_position.png",4,220,900)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-1.085994000000045e-05</v>
      </c>
      <c r="G3287" t="n">
        <v>0.8213772009493435</v>
      </c>
      <c r="H3287" t="n">
        <v>0.0203532207228054</v>
      </c>
      <c r="I3287" t="n">
        <v>0.0930467265034815</v>
      </c>
      <c r="J3287" t="n">
        <v>0.0003451224412003</v>
      </c>
      <c r="K3287" t="n">
        <v>0.8884792400732656</v>
      </c>
      <c r="L3287" t="b">
        <v>0</v>
      </c>
      <c r="M3287" t="b">
        <v>0</v>
      </c>
      <c r="N3287" t="inlineStr">
        <is>
          <t>ref</t>
        </is>
      </c>
      <c r="O3287" t="n">
        <v>-5</v>
      </c>
      <c r="P3287" t="n">
        <v>0.001465</v>
      </c>
      <c r="Q3287" t="n">
        <v>-85</v>
      </c>
      <c r="R3287" t="n">
        <v>0.05884</v>
      </c>
      <c r="S3287">
        <f>IMAGE("https://mitra.stanford.edu/kundaje/oak/projects/neuro-variants/variant_position/credible/roussos_2024/variant_figures/roussos_2024.childhood.GLU/rs9327850_count_position.png",4,220,900)</f>
        <v/>
      </c>
      <c r="T3287">
        <f>IMAGE("https://mitra.stanford.edu/kundaje/oak/projects/neuro-variants/variant_position/credible/roussos_2024/variant_figures/roussos_2024.childhood.GLU/rs9327850_profile_position.png",4,220,900)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-0.0351978578</v>
      </c>
      <c r="G3288" t="n">
        <v>0.2963374365527071</v>
      </c>
      <c r="H3288" t="n">
        <v>0.008218561966290399</v>
      </c>
      <c r="I3288" t="n">
        <v>0.8486514840348927</v>
      </c>
      <c r="J3288" t="n">
        <v>3.399713599884616e-05</v>
      </c>
      <c r="K3288" t="n">
        <v>0.9744853441605804</v>
      </c>
      <c r="L3288" t="b">
        <v>0</v>
      </c>
      <c r="M3288" t="b">
        <v>0</v>
      </c>
      <c r="N3288" t="inlineStr">
        <is>
          <t>ref</t>
        </is>
      </c>
      <c r="O3288" t="n">
        <v>-20</v>
      </c>
      <c r="P3288" t="n">
        <v>0.00182</v>
      </c>
      <c r="Q3288" t="n">
        <v>-80</v>
      </c>
      <c r="R3288" t="n">
        <v>0.1091</v>
      </c>
      <c r="S3288">
        <f>IMAGE("https://mitra.stanford.edu/kundaje/oak/projects/neuro-variants/variant_position/credible/roussos_2024/variant_figures/roussos_2024.childhood.GLU/rs9327851_count_position.png",4,220,900)</f>
        <v/>
      </c>
      <c r="T3288">
        <f>IMAGE("https://mitra.stanford.edu/kundaje/oak/projects/neuro-variants/variant_position/credible/roussos_2024/variant_figures/roussos_2024.childhood.GLU/rs9327851_profile_position.png",4,220,900)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0.00791096826</v>
      </c>
      <c r="G3289" t="n">
        <v>0.6939255435314291</v>
      </c>
      <c r="H3289" t="n">
        <v>0.040299473364248</v>
      </c>
      <c r="I3289" t="n">
        <v>0.0063641917283067</v>
      </c>
      <c r="J3289" t="n">
        <v>0.0009931284576631999</v>
      </c>
      <c r="K3289" t="n">
        <v>0.8324869311753949</v>
      </c>
      <c r="L3289" t="b">
        <v>0</v>
      </c>
      <c r="M3289" t="b">
        <v>0</v>
      </c>
      <c r="N3289" t="inlineStr">
        <is>
          <t>alt</t>
        </is>
      </c>
      <c r="O3289" t="n">
        <v>70</v>
      </c>
      <c r="P3289" t="n">
        <v>0.0072</v>
      </c>
      <c r="Q3289" t="n">
        <v>30</v>
      </c>
      <c r="R3289" t="n">
        <v>0.000618</v>
      </c>
      <c r="S3289">
        <f>IMAGE("https://mitra.stanford.edu/kundaje/oak/projects/neuro-variants/variant_position/credible/roussos_2024/variant_figures/roussos_2024.childhood.GLU/rs6874612_count_position.png",4,220,900)</f>
        <v/>
      </c>
      <c r="T3289">
        <f>IMAGE("https://mitra.stanford.edu/kundaje/oak/projects/neuro-variants/variant_position/credible/roussos_2024/variant_figures/roussos_2024.childhood.GLU/rs6874612_profile_position.png",4,220,900)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-0.0545577776</v>
      </c>
      <c r="G3290" t="n">
        <v>0.1766077174423274</v>
      </c>
      <c r="H3290" t="n">
        <v>0.0297775874412016</v>
      </c>
      <c r="I3290" t="n">
        <v>0.0221040443234013</v>
      </c>
      <c r="J3290" t="n">
        <v>0.0001978015185386</v>
      </c>
      <c r="K3290" t="n">
        <v>0.9128563985079732</v>
      </c>
      <c r="L3290" t="b">
        <v>0</v>
      </c>
      <c r="M3290" t="b">
        <v>0</v>
      </c>
      <c r="N3290" t="inlineStr">
        <is>
          <t>ref</t>
        </is>
      </c>
      <c r="O3290" t="n">
        <v>50</v>
      </c>
      <c r="P3290" t="n">
        <v>0.00653</v>
      </c>
      <c r="Q3290" t="n">
        <v>55</v>
      </c>
      <c r="R3290" t="n">
        <v>0.07367</v>
      </c>
      <c r="S3290">
        <f>IMAGE("https://mitra.stanford.edu/kundaje/oak/projects/neuro-variants/variant_position/credible/roussos_2024/variant_figures/roussos_2024.childhood.GLU/rs9285946_count_position.png",4,220,900)</f>
        <v/>
      </c>
      <c r="T3290">
        <f>IMAGE("https://mitra.stanford.edu/kundaje/oak/projects/neuro-variants/variant_position/credible/roussos_2024/variant_figures/roussos_2024.childhood.GLU/rs9285946_profile_position.png",4,220,900)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-0.002955932528</v>
      </c>
      <c r="G3291" t="n">
        <v>0.8465288826154206</v>
      </c>
      <c r="H3291" t="n">
        <v>0.0240487420922208</v>
      </c>
      <c r="I3291" t="n">
        <v>0.0499057043383047</v>
      </c>
      <c r="J3291" t="n">
        <v>0.0001122935704203</v>
      </c>
      <c r="K3291" t="n">
        <v>0.9350668274411564</v>
      </c>
      <c r="L3291" t="b">
        <v>0</v>
      </c>
      <c r="M3291" t="b">
        <v>0</v>
      </c>
      <c r="N3291" t="inlineStr">
        <is>
          <t>ref</t>
        </is>
      </c>
      <c r="O3291" t="n">
        <v>-90</v>
      </c>
      <c r="P3291" t="n">
        <v>0.003082</v>
      </c>
      <c r="Q3291" t="n">
        <v>-90</v>
      </c>
      <c r="R3291" t="n">
        <v>0.0574</v>
      </c>
      <c r="S3291">
        <f>IMAGE("https://mitra.stanford.edu/kundaje/oak/projects/neuro-variants/variant_position/credible/roussos_2024/variant_figures/roussos_2024.childhood.GLU/rs7721084_count_position.png",4,220,900)</f>
        <v/>
      </c>
      <c r="T3291">
        <f>IMAGE("https://mitra.stanford.edu/kundaje/oak/projects/neuro-variants/variant_position/credible/roussos_2024/variant_figures/roussos_2024.childhood.GLU/rs7721084_profile_position.png",4,220,900)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0.0935928452</v>
      </c>
      <c r="G3292" t="n">
        <v>0.0532992800875767</v>
      </c>
      <c r="H3292" t="n">
        <v>0.028171795382744</v>
      </c>
      <c r="I3292" t="n">
        <v>0.0277362576712105</v>
      </c>
      <c r="J3292" t="n">
        <v>0.0705471478463329</v>
      </c>
      <c r="K3292" t="n">
        <v>0.2985876432803769</v>
      </c>
      <c r="L3292" t="b">
        <v>0</v>
      </c>
      <c r="M3292" t="b">
        <v>0</v>
      </c>
      <c r="N3292" t="inlineStr">
        <is>
          <t>alt</t>
        </is>
      </c>
      <c r="O3292" t="n">
        <v>-35</v>
      </c>
      <c r="P3292" t="n">
        <v>0.010284</v>
      </c>
      <c r="Q3292" t="n">
        <v>65</v>
      </c>
      <c r="R3292" t="n">
        <v>0.04102</v>
      </c>
      <c r="S3292">
        <f>IMAGE("https://mitra.stanford.edu/kundaje/oak/projects/neuro-variants/variant_position/credible/roussos_2024/variant_figures/roussos_2024.childhood.GLU/rs10057126_count_position.png",4,220,900)</f>
        <v/>
      </c>
      <c r="T3292">
        <f>IMAGE("https://mitra.stanford.edu/kundaje/oak/projects/neuro-variants/variant_position/credible/roussos_2024/variant_figures/roussos_2024.childhood.GLU/rs10057126_profile_position.png",4,220,900)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0.0254443298</v>
      </c>
      <c r="G3293" t="n">
        <v>0.3881975076954592</v>
      </c>
      <c r="H3293" t="n">
        <v>0.008265374974867699</v>
      </c>
      <c r="I3293" t="n">
        <v>0.8275809608120503</v>
      </c>
      <c r="J3293" t="n">
        <v>0.0161249446258769</v>
      </c>
      <c r="K3293" t="n">
        <v>0.5232223234912298</v>
      </c>
      <c r="L3293" t="b">
        <v>0</v>
      </c>
      <c r="M3293" t="b">
        <v>0</v>
      </c>
      <c r="N3293" t="inlineStr">
        <is>
          <t>alt</t>
        </is>
      </c>
      <c r="O3293" t="n">
        <v>-85</v>
      </c>
      <c r="P3293" t="n">
        <v>0.007374</v>
      </c>
      <c r="Q3293" t="n">
        <v>-100</v>
      </c>
      <c r="R3293" t="n">
        <v>0.1365</v>
      </c>
      <c r="S3293">
        <f>IMAGE("https://mitra.stanford.edu/kundaje/oak/projects/neuro-variants/variant_position/credible/roussos_2024/variant_figures/roussos_2024.childhood.GLU/rs1901522_count_position.png",4,220,900)</f>
        <v/>
      </c>
      <c r="T3293">
        <f>IMAGE("https://mitra.stanford.edu/kundaje/oak/projects/neuro-variants/variant_position/credible/roussos_2024/variant_figures/roussos_2024.childhood.GLU/rs1901522_profile_position.png",4,220,900)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0.0107043029719999</v>
      </c>
      <c r="G3294" t="n">
        <v>0.4915613797173455</v>
      </c>
      <c r="H3294" t="n">
        <v>0.0143780157474128</v>
      </c>
      <c r="I3294" t="n">
        <v>0.2995453281820621</v>
      </c>
      <c r="J3294" t="n">
        <v>0.008407594754138799</v>
      </c>
      <c r="K3294" t="n">
        <v>0.6196341772087925</v>
      </c>
      <c r="L3294" t="b">
        <v>0</v>
      </c>
      <c r="M3294" t="b">
        <v>0</v>
      </c>
      <c r="N3294" t="inlineStr">
        <is>
          <t>alt</t>
        </is>
      </c>
      <c r="O3294" t="n">
        <v>65</v>
      </c>
      <c r="P3294" t="n">
        <v>0.01369</v>
      </c>
      <c r="Q3294" t="n">
        <v>-20</v>
      </c>
      <c r="R3294" t="n">
        <v>0.0509</v>
      </c>
      <c r="S3294">
        <f>IMAGE("https://mitra.stanford.edu/kundaje/oak/projects/neuro-variants/variant_position/credible/roussos_2024/variant_figures/roussos_2024.childhood.GLU/rs2060834_count_position.png",4,220,900)</f>
        <v/>
      </c>
      <c r="T3294">
        <f>IMAGE("https://mitra.stanford.edu/kundaje/oak/projects/neuro-variants/variant_position/credible/roussos_2024/variant_figures/roussos_2024.childhood.GLU/rs2060834_profile_position.png",4,220,900)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0.15795736</v>
      </c>
      <c r="G3295" t="n">
        <v>0.0146203491869682</v>
      </c>
      <c r="H3295" t="n">
        <v>0.0266631713625041</v>
      </c>
      <c r="I3295" t="n">
        <v>0.0346196116558982</v>
      </c>
      <c r="J3295" t="n">
        <v>0.0339518064841809</v>
      </c>
      <c r="K3295" t="n">
        <v>0.4161995813702448</v>
      </c>
      <c r="L3295" t="b">
        <v>1</v>
      </c>
      <c r="M3295" t="b">
        <v>0</v>
      </c>
      <c r="N3295" t="inlineStr">
        <is>
          <t>alt</t>
        </is>
      </c>
      <c r="O3295" t="n">
        <v>-85</v>
      </c>
      <c r="P3295" t="n">
        <v>0.007465</v>
      </c>
      <c r="Q3295" t="n">
        <v>85</v>
      </c>
      <c r="R3295" t="n">
        <v>0.08450000000000001</v>
      </c>
      <c r="S3295">
        <f>IMAGE("https://mitra.stanford.edu/kundaje/oak/projects/neuro-variants/variant_position/credible/roussos_2024/variant_figures/roussos_2024.childhood.GLU/rs9986226_count_position.png",4,220,900)</f>
        <v/>
      </c>
      <c r="T3295">
        <f>IMAGE("https://mitra.stanford.edu/kundaje/oak/projects/neuro-variants/variant_position/credible/roussos_2024/variant_figures/roussos_2024.childhood.GLU/rs9986226_profile_position.png",4,220,900)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-0.0291267734</v>
      </c>
      <c r="G3296" t="n">
        <v>0.3629028668913135</v>
      </c>
      <c r="H3296" t="n">
        <v>0.0222600784758265</v>
      </c>
      <c r="I3296" t="n">
        <v>0.07035534874489061</v>
      </c>
      <c r="J3296" t="n">
        <v>0.0012743774918354</v>
      </c>
      <c r="K3296" t="n">
        <v>0.8151580389039723</v>
      </c>
      <c r="L3296" t="b">
        <v>0</v>
      </c>
      <c r="M3296" t="b">
        <v>0</v>
      </c>
      <c r="N3296" t="inlineStr">
        <is>
          <t>ref</t>
        </is>
      </c>
      <c r="O3296" t="n">
        <v>40</v>
      </c>
      <c r="P3296" t="n">
        <v>0.00354</v>
      </c>
      <c r="Q3296" t="n">
        <v>-100</v>
      </c>
      <c r="R3296" t="n">
        <v>0.04846</v>
      </c>
      <c r="S3296">
        <f>IMAGE("https://mitra.stanford.edu/kundaje/oak/projects/neuro-variants/variant_position/credible/roussos_2024/variant_figures/roussos_2024.childhood.GLU/rs1597770_count_position.png",4,220,900)</f>
        <v/>
      </c>
      <c r="T3296">
        <f>IMAGE("https://mitra.stanford.edu/kundaje/oak/projects/neuro-variants/variant_position/credible/roussos_2024/variant_figures/roussos_2024.childhood.GLU/rs1597770_profile_position.png",4,220,900)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0.0134314112</v>
      </c>
      <c r="G3297" t="n">
        <v>0.5839502530248574</v>
      </c>
      <c r="H3297" t="n">
        <v>0.020109072940782</v>
      </c>
      <c r="I3297" t="n">
        <v>0.09864808676255291</v>
      </c>
      <c r="J3297" t="n">
        <v>0.0012908609517137</v>
      </c>
      <c r="K3297" t="n">
        <v>0.8069578268643469</v>
      </c>
      <c r="L3297" t="b">
        <v>0</v>
      </c>
      <c r="M3297" t="b">
        <v>0</v>
      </c>
      <c r="N3297" t="inlineStr">
        <is>
          <t>alt</t>
        </is>
      </c>
      <c r="O3297" t="n">
        <v>-65</v>
      </c>
      <c r="P3297" t="n">
        <v>0.004364</v>
      </c>
      <c r="Q3297" t="n">
        <v>-85</v>
      </c>
      <c r="R3297" t="n">
        <v>0.05136</v>
      </c>
      <c r="S3297">
        <f>IMAGE("https://mitra.stanford.edu/kundaje/oak/projects/neuro-variants/variant_position/credible/roussos_2024/variant_figures/roussos_2024.childhood.GLU/rs1470794_count_position.png",4,220,900)</f>
        <v/>
      </c>
      <c r="T3297">
        <f>IMAGE("https://mitra.stanford.edu/kundaje/oak/projects/neuro-variants/variant_position/credible/roussos_2024/variant_figures/roussos_2024.childhood.GLU/rs1470794_profile_position.png",4,220,900)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-0.017453683</v>
      </c>
      <c r="G3298" t="n">
        <v>0.5221562786543236</v>
      </c>
      <c r="H3298" t="n">
        <v>0.0122228473654235</v>
      </c>
      <c r="I3298" t="n">
        <v>0.4352118641453713</v>
      </c>
      <c r="J3298" t="n">
        <v>0.3056579476032018</v>
      </c>
      <c r="K3298" t="n">
        <v>0.0951604941162574</v>
      </c>
      <c r="L3298" t="b">
        <v>0</v>
      </c>
      <c r="M3298" t="b">
        <v>0</v>
      </c>
      <c r="N3298" t="inlineStr">
        <is>
          <t>ref</t>
        </is>
      </c>
      <c r="O3298" t="n">
        <v>-90</v>
      </c>
      <c r="P3298" t="n">
        <v>0.0057</v>
      </c>
      <c r="Q3298" t="n">
        <v>-80</v>
      </c>
      <c r="R3298" t="n">
        <v>0.10315</v>
      </c>
      <c r="S3298">
        <f>IMAGE("https://mitra.stanford.edu/kundaje/oak/projects/neuro-variants/variant_position/credible/roussos_2024/variant_figures/roussos_2024.childhood.GLU/rs6878326_count_position.png",4,220,900)</f>
        <v/>
      </c>
      <c r="T3298">
        <f>IMAGE("https://mitra.stanford.edu/kundaje/oak/projects/neuro-variants/variant_position/credible/roussos_2024/variant_figures/roussos_2024.childhood.GLU/rs6878326_profile_position.png",4,220,900)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-0.0040192411999999</v>
      </c>
      <c r="G3299" t="n">
        <v>0.3055782274210112</v>
      </c>
      <c r="H3299" t="n">
        <v>0.0210205187641425</v>
      </c>
      <c r="I3299" t="n">
        <v>0.0878938627634783</v>
      </c>
      <c r="J3299" t="n">
        <v>0.0115281197523359</v>
      </c>
      <c r="K3299" t="n">
        <v>0.5678734394372197</v>
      </c>
      <c r="L3299" t="b">
        <v>0</v>
      </c>
      <c r="M3299" t="b">
        <v>0</v>
      </c>
      <c r="N3299" t="inlineStr">
        <is>
          <t>ref</t>
        </is>
      </c>
      <c r="O3299" t="n">
        <v>-15</v>
      </c>
      <c r="P3299" t="n">
        <v>0.00206</v>
      </c>
      <c r="Q3299" t="n">
        <v>-5</v>
      </c>
      <c r="R3299" t="n">
        <v>0.00928</v>
      </c>
      <c r="S3299">
        <f>IMAGE("https://mitra.stanford.edu/kundaje/oak/projects/neuro-variants/variant_position/credible/roussos_2024/variant_figures/roussos_2024.childhood.GLU/rs4413509_count_position.png",4,220,900)</f>
        <v/>
      </c>
      <c r="T3299">
        <f>IMAGE("https://mitra.stanford.edu/kundaje/oak/projects/neuro-variants/variant_position/credible/roussos_2024/variant_figures/roussos_2024.childhood.GLU/rs4413509_profile_position.png",4,220,900)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-0.140014927</v>
      </c>
      <c r="G3300" t="n">
        <v>0.0216147420563633</v>
      </c>
      <c r="H3300" t="n">
        <v>0.0184030331471624</v>
      </c>
      <c r="I3300" t="n">
        <v>0.1302930808624676</v>
      </c>
      <c r="J3300" t="n">
        <v>0.0027908558006325</v>
      </c>
      <c r="K3300" t="n">
        <v>0.7447101745840751</v>
      </c>
      <c r="L3300" t="b">
        <v>0</v>
      </c>
      <c r="M3300" t="b">
        <v>0</v>
      </c>
      <c r="N3300" t="inlineStr">
        <is>
          <t>ref</t>
        </is>
      </c>
      <c r="O3300" t="n">
        <v>-30</v>
      </c>
      <c r="P3300" t="n">
        <v>0.0008316</v>
      </c>
      <c r="Q3300" t="n">
        <v>55</v>
      </c>
      <c r="R3300" t="n">
        <v>0.03467</v>
      </c>
      <c r="S3300">
        <f>IMAGE("https://mitra.stanford.edu/kundaje/oak/projects/neuro-variants/variant_position/credible/roussos_2024/variant_figures/roussos_2024.childhood.GLU/rs9765316_count_position.png",4,220,900)</f>
        <v/>
      </c>
      <c r="T3300">
        <f>IMAGE("https://mitra.stanford.edu/kundaje/oak/projects/neuro-variants/variant_position/credible/roussos_2024/variant_figures/roussos_2024.childhood.GLU/rs9765316_profile_position.png",4,220,900)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0.0598681132</v>
      </c>
      <c r="G3301" t="n">
        <v>0.1461543977511654</v>
      </c>
      <c r="H3301" t="n">
        <v>0.0187474719738181</v>
      </c>
      <c r="I3301" t="n">
        <v>0.131198516430647</v>
      </c>
      <c r="J3301" t="n">
        <v>0.0158570884028556</v>
      </c>
      <c r="K3301" t="n">
        <v>0.5331435824820813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0.01554</v>
      </c>
      <c r="Q3301" t="n">
        <v>-20</v>
      </c>
      <c r="R3301" t="n">
        <v>0.0224</v>
      </c>
      <c r="S3301">
        <f>IMAGE("https://mitra.stanford.edu/kundaje/oak/projects/neuro-variants/variant_position/credible/roussos_2024/variant_figures/roussos_2024.childhood.GLU/rs10038801_count_position.png",4,220,900)</f>
        <v/>
      </c>
      <c r="T3301">
        <f>IMAGE("https://mitra.stanford.edu/kundaje/oak/projects/neuro-variants/variant_position/credible/roussos_2024/variant_figures/roussos_2024.childhood.GLU/rs10038801_profile_position.png",4,220,900)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0.183235802</v>
      </c>
      <c r="G3302" t="n">
        <v>0.0121565108286694</v>
      </c>
      <c r="H3302" t="n">
        <v>0.0277854844959433</v>
      </c>
      <c r="I3302" t="n">
        <v>0.0326496076982994</v>
      </c>
      <c r="J3302" t="n">
        <v>0.0020933994045349</v>
      </c>
      <c r="K3302" t="n">
        <v>0.7779031640758818</v>
      </c>
      <c r="L3302" t="b">
        <v>1</v>
      </c>
      <c r="M3302" t="b">
        <v>0</v>
      </c>
      <c r="N3302" t="inlineStr">
        <is>
          <t>alt</t>
        </is>
      </c>
      <c r="O3302" t="n">
        <v>-100</v>
      </c>
      <c r="P3302" t="n">
        <v>0.009220000000000001</v>
      </c>
      <c r="Q3302" t="n">
        <v>60</v>
      </c>
      <c r="R3302" t="n">
        <v>0.0762</v>
      </c>
      <c r="S3302">
        <f>IMAGE("https://mitra.stanford.edu/kundaje/oak/projects/neuro-variants/variant_position/credible/roussos_2024/variant_figures/roussos_2024.childhood.GLU/rs6872341_count_position.png",4,220,900)</f>
        <v/>
      </c>
      <c r="T3302">
        <f>IMAGE("https://mitra.stanford.edu/kundaje/oak/projects/neuro-variants/variant_position/credible/roussos_2024/variant_figures/roussos_2024.childhood.GLU/rs6872341_profile_position.png",4,220,900)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-0.0348084328</v>
      </c>
      <c r="G3303" t="n">
        <v>0.2890787928119171</v>
      </c>
      <c r="H3303" t="n">
        <v>0.0125242121692164</v>
      </c>
      <c r="I3303" t="n">
        <v>0.4146522934564928</v>
      </c>
      <c r="J3303" t="n">
        <v>0.0262818465595928</v>
      </c>
      <c r="K3303" t="n">
        <v>0.460414382635157</v>
      </c>
      <c r="L3303" t="b">
        <v>0</v>
      </c>
      <c r="M3303" t="b">
        <v>0</v>
      </c>
      <c r="N3303" t="inlineStr">
        <is>
          <t>ref</t>
        </is>
      </c>
      <c r="O3303" t="n">
        <v>80</v>
      </c>
      <c r="P3303" t="n">
        <v>0.003342</v>
      </c>
      <c r="Q3303" t="n">
        <v>100</v>
      </c>
      <c r="R3303" t="n">
        <v>0.08545</v>
      </c>
      <c r="S3303">
        <f>IMAGE("https://mitra.stanford.edu/kundaje/oak/projects/neuro-variants/variant_position/credible/roussos_2024/variant_figures/roussos_2024.childhood.GLU/rs1376909_count_position.png",4,220,900)</f>
        <v/>
      </c>
      <c r="T3303">
        <f>IMAGE("https://mitra.stanford.edu/kundaje/oak/projects/neuro-variants/variant_position/credible/roussos_2024/variant_figures/roussos_2024.childhood.GLU/rs1376909_profile_position.png",4,220,900)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0.0325151491999999</v>
      </c>
      <c r="G3304" t="n">
        <v>0.3054670630231435</v>
      </c>
      <c r="H3304" t="n">
        <v>0.0075931823396667</v>
      </c>
      <c r="I3304" t="n">
        <v>0.867248670621718</v>
      </c>
      <c r="J3304" t="n">
        <v>0.0391564589407316</v>
      </c>
      <c r="K3304" t="n">
        <v>0.3921526975128622</v>
      </c>
      <c r="L3304" t="b">
        <v>0</v>
      </c>
      <c r="M3304" t="b">
        <v>0</v>
      </c>
      <c r="N3304" t="inlineStr">
        <is>
          <t>alt</t>
        </is>
      </c>
      <c r="O3304" t="n">
        <v>-65</v>
      </c>
      <c r="P3304" t="n">
        <v>0.0344</v>
      </c>
      <c r="Q3304" t="n">
        <v>80</v>
      </c>
      <c r="R3304" t="n">
        <v>0.2273</v>
      </c>
      <c r="S3304">
        <f>IMAGE("https://mitra.stanford.edu/kundaje/oak/projects/neuro-variants/variant_position/credible/roussos_2024/variant_figures/roussos_2024.childhood.GLU/rs7724920_count_position.png",4,220,900)</f>
        <v/>
      </c>
      <c r="T3304">
        <f>IMAGE("https://mitra.stanford.edu/kundaje/oak/projects/neuro-variants/variant_position/credible/roussos_2024/variant_figures/roussos_2024.childhood.GLU/rs7724920_profile_position.png",4,220,900)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0.142083822</v>
      </c>
      <c r="G3305" t="n">
        <v>0.0191967877687955</v>
      </c>
      <c r="H3305" t="n">
        <v>0.0306610481448956</v>
      </c>
      <c r="I3305" t="n">
        <v>0.0197529365188606</v>
      </c>
      <c r="J3305" t="n">
        <v>0.053797892177568</v>
      </c>
      <c r="K3305" t="n">
        <v>0.3374159868695781</v>
      </c>
      <c r="L3305" t="b">
        <v>1</v>
      </c>
      <c r="M3305" t="b">
        <v>0</v>
      </c>
      <c r="N3305" t="inlineStr">
        <is>
          <t>alt</t>
        </is>
      </c>
      <c r="O3305" t="n">
        <v>100</v>
      </c>
      <c r="P3305" t="n">
        <v>0.005394</v>
      </c>
      <c r="Q3305" t="n">
        <v>85</v>
      </c>
      <c r="R3305" t="n">
        <v>0.1218</v>
      </c>
      <c r="S3305">
        <f>IMAGE("https://mitra.stanford.edu/kundaje/oak/projects/neuro-variants/variant_position/credible/roussos_2024/variant_figures/roussos_2024.childhood.GLU/rs2400797_count_position.png",4,220,900)</f>
        <v/>
      </c>
      <c r="T3305">
        <f>IMAGE("https://mitra.stanford.edu/kundaje/oak/projects/neuro-variants/variant_position/credible/roussos_2024/variant_figures/roussos_2024.childhood.GLU/rs2400797_profile_position.png",4,220,900)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0.0101088023599999</v>
      </c>
      <c r="G3306" t="n">
        <v>0.5223862226858531</v>
      </c>
      <c r="H3306" t="n">
        <v>0.0243120377379156</v>
      </c>
      <c r="I3306" t="n">
        <v>0.048795909428121</v>
      </c>
      <c r="J3306" t="n">
        <v>0.0003914821721079</v>
      </c>
      <c r="K3306" t="n">
        <v>0.8910779449785335</v>
      </c>
      <c r="L3306" t="b">
        <v>0</v>
      </c>
      <c r="M3306" t="b">
        <v>0</v>
      </c>
      <c r="N3306" t="inlineStr">
        <is>
          <t>alt</t>
        </is>
      </c>
      <c r="O3306" t="n">
        <v>45</v>
      </c>
      <c r="P3306" t="n">
        <v>0.002106</v>
      </c>
      <c r="Q3306" t="n">
        <v>-45</v>
      </c>
      <c r="R3306" t="n">
        <v>0.0882</v>
      </c>
      <c r="S3306">
        <f>IMAGE("https://mitra.stanford.edu/kundaje/oak/projects/neuro-variants/variant_position/credible/roussos_2024/variant_figures/roussos_2024.childhood.GLU/rs2400799_count_position.png",4,220,900)</f>
        <v/>
      </c>
      <c r="T3306">
        <f>IMAGE("https://mitra.stanford.edu/kundaje/oak/projects/neuro-variants/variant_position/credible/roussos_2024/variant_figures/roussos_2024.childhood.GLU/rs2400799_profile_position.png",4,220,900)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0.00236257146</v>
      </c>
      <c r="G3307" t="n">
        <v>0.8745865240442728</v>
      </c>
      <c r="H3307" t="n">
        <v>0.0241410869283948</v>
      </c>
      <c r="I3307" t="n">
        <v>0.0489322899045299</v>
      </c>
      <c r="J3307" t="n">
        <v>0.0002122245459321</v>
      </c>
      <c r="K3307" t="n">
        <v>0.9105039944931596</v>
      </c>
      <c r="L3307" t="b">
        <v>0</v>
      </c>
      <c r="M3307" t="b">
        <v>0</v>
      </c>
      <c r="N3307" t="inlineStr">
        <is>
          <t>alt</t>
        </is>
      </c>
      <c r="O3307" t="n">
        <v>100</v>
      </c>
      <c r="P3307" t="n">
        <v>0.005905</v>
      </c>
      <c r="Q3307" t="n">
        <v>35</v>
      </c>
      <c r="R3307" t="n">
        <v>0.013916</v>
      </c>
      <c r="S3307">
        <f>IMAGE("https://mitra.stanford.edu/kundaje/oak/projects/neuro-variants/variant_position/credible/roussos_2024/variant_figures/roussos_2024.childhood.GLU/rs58080162_count_position.png",4,220,900)</f>
        <v/>
      </c>
      <c r="T3307">
        <f>IMAGE("https://mitra.stanford.edu/kundaje/oak/projects/neuro-variants/variant_position/credible/roussos_2024/variant_figures/roussos_2024.childhood.GLU/rs58080162_profile_position.png",4,220,900)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0.00058141758</v>
      </c>
      <c r="G3308" t="n">
        <v>0.3867329878893727</v>
      </c>
      <c r="H3308" t="n">
        <v>0.0102996841668361</v>
      </c>
      <c r="I3308" t="n">
        <v>0.6219480125250509</v>
      </c>
      <c r="J3308" t="n">
        <v>0.0011744465163237</v>
      </c>
      <c r="K3308" t="n">
        <v>0.8218236521976156</v>
      </c>
      <c r="L3308" t="b">
        <v>0</v>
      </c>
      <c r="M3308" t="b">
        <v>0</v>
      </c>
      <c r="N3308" t="inlineStr">
        <is>
          <t>alt</t>
        </is>
      </c>
      <c r="O3308" t="n">
        <v>95</v>
      </c>
      <c r="P3308" t="n">
        <v>0.01035</v>
      </c>
      <c r="Q3308" t="n">
        <v>-55</v>
      </c>
      <c r="R3308" t="n">
        <v>0.05472</v>
      </c>
      <c r="S3308">
        <f>IMAGE("https://mitra.stanford.edu/kundaje/oak/projects/neuro-variants/variant_position/credible/roussos_2024/variant_figures/roussos_2024.childhood.GLU/rs10055704_count_position.png",4,220,900)</f>
        <v/>
      </c>
      <c r="T3308">
        <f>IMAGE("https://mitra.stanford.edu/kundaje/oak/projects/neuro-variants/variant_position/credible/roussos_2024/variant_figures/roussos_2024.childhood.GLU/rs10055704_profile_position.png",4,220,900)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-0.0465609165999999</v>
      </c>
      <c r="G3309" t="n">
        <v>0.2132961368612854</v>
      </c>
      <c r="H3309" t="n">
        <v>0.0121601256201712</v>
      </c>
      <c r="I3309" t="n">
        <v>0.4215907651793671</v>
      </c>
      <c r="J3309" t="n">
        <v>0.0347728888293652</v>
      </c>
      <c r="K3309" t="n">
        <v>0.4067769580236899</v>
      </c>
      <c r="L3309" t="b">
        <v>0</v>
      </c>
      <c r="M3309" t="b">
        <v>0</v>
      </c>
      <c r="N3309" t="inlineStr">
        <is>
          <t>ref</t>
        </is>
      </c>
      <c r="O3309" t="n">
        <v>-100</v>
      </c>
      <c r="P3309" t="n">
        <v>0.007275</v>
      </c>
      <c r="Q3309" t="n">
        <v>80</v>
      </c>
      <c r="R3309" t="n">
        <v>0.1812</v>
      </c>
      <c r="S3309">
        <f>IMAGE("https://mitra.stanford.edu/kundaje/oak/projects/neuro-variants/variant_position/credible/roussos_2024/variant_figures/roussos_2024.childhood.GLU/rs11242471_count_position.png",4,220,900)</f>
        <v/>
      </c>
      <c r="T3309">
        <f>IMAGE("https://mitra.stanford.edu/kundaje/oak/projects/neuro-variants/variant_position/credible/roussos_2024/variant_figures/roussos_2024.childhood.GLU/rs11242471_profile_position.png",4,220,900)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0.1233589</v>
      </c>
      <c r="G3310" t="n">
        <v>0.0270587974605301</v>
      </c>
      <c r="H3310" t="n">
        <v>0.0217078120595141</v>
      </c>
      <c r="I3310" t="n">
        <v>0.07882572167515151</v>
      </c>
      <c r="J3310" t="n">
        <v>0.0205373607920301</v>
      </c>
      <c r="K3310" t="n">
        <v>0.487069235662479</v>
      </c>
      <c r="L3310" t="b">
        <v>0</v>
      </c>
      <c r="M3310" t="b">
        <v>0</v>
      </c>
      <c r="N3310" t="inlineStr">
        <is>
          <t>alt</t>
        </is>
      </c>
      <c r="O3310" t="n">
        <v>-100</v>
      </c>
      <c r="P3310" t="n">
        <v>0.006508</v>
      </c>
      <c r="Q3310" t="n">
        <v>-100</v>
      </c>
      <c r="R3310" t="n">
        <v>0.09279999999999999</v>
      </c>
      <c r="S3310">
        <f>IMAGE("https://mitra.stanford.edu/kundaje/oak/projects/neuro-variants/variant_position/credible/roussos_2024/variant_figures/roussos_2024.childhood.GLU/rs252810_count_position.png",4,220,900)</f>
        <v/>
      </c>
      <c r="T3310">
        <f>IMAGE("https://mitra.stanford.edu/kundaje/oak/projects/neuro-variants/variant_position/credible/roussos_2024/variant_figures/roussos_2024.childhood.GLU/rs252810_profile_position.png",4,220,900)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0.214784138</v>
      </c>
      <c r="G3311" t="n">
        <v>0.0070172323583014</v>
      </c>
      <c r="H3311" t="n">
        <v>0.0273478476028145</v>
      </c>
      <c r="I3311" t="n">
        <v>0.0334674413621514</v>
      </c>
      <c r="J3311" t="n">
        <v>0.1389586574221928</v>
      </c>
      <c r="K3311" t="n">
        <v>0.1998605626255696</v>
      </c>
      <c r="L3311" t="b">
        <v>1</v>
      </c>
      <c r="M3311" t="b">
        <v>1</v>
      </c>
      <c r="N3311" t="inlineStr">
        <is>
          <t>alt</t>
        </is>
      </c>
      <c r="O3311" t="n">
        <v>0</v>
      </c>
      <c r="P3311" t="n">
        <v>0</v>
      </c>
      <c r="Q3311" t="n">
        <v>-5</v>
      </c>
      <c r="R3311" t="n">
        <v>0.002441</v>
      </c>
      <c r="S3311">
        <f>IMAGE("https://mitra.stanford.edu/kundaje/oak/projects/neuro-variants/variant_position/credible/roussos_2024/variant_figures/roussos_2024.childhood.GLU/rs152611_count_position.png",4,220,900)</f>
        <v/>
      </c>
      <c r="T3311">
        <f>IMAGE("https://mitra.stanford.edu/kundaje/oak/projects/neuro-variants/variant_position/credible/roussos_2024/variant_figures/roussos_2024.childhood.GLU/rs152611_profile_position.png",4,220,900)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0.0152397506</v>
      </c>
      <c r="G3312" t="n">
        <v>0.3412892722297424</v>
      </c>
      <c r="H3312" t="n">
        <v>0.0286086387864061</v>
      </c>
      <c r="I3312" t="n">
        <v>0.0253414607473776</v>
      </c>
      <c r="J3312" t="n">
        <v>0.013198100281249</v>
      </c>
      <c r="K3312" t="n">
        <v>0.5526980535742354</v>
      </c>
      <c r="L3312" t="b">
        <v>0</v>
      </c>
      <c r="M3312" t="b">
        <v>0</v>
      </c>
      <c r="N3312" t="inlineStr">
        <is>
          <t>alt</t>
        </is>
      </c>
      <c r="O3312" t="n">
        <v>50</v>
      </c>
      <c r="P3312" t="n">
        <v>0.004974</v>
      </c>
      <c r="Q3312" t="n">
        <v>75</v>
      </c>
      <c r="R3312" t="n">
        <v>0.1768</v>
      </c>
      <c r="S3312">
        <f>IMAGE("https://mitra.stanford.edu/kundaje/oak/projects/neuro-variants/variant_position/credible/roussos_2024/variant_figures/roussos_2024.childhood.GLU/rs115779_count_position.png",4,220,900)</f>
        <v/>
      </c>
      <c r="T3312">
        <f>IMAGE("https://mitra.stanford.edu/kundaje/oak/projects/neuro-variants/variant_position/credible/roussos_2024/variant_figures/roussos_2024.childhood.GLU/rs115779_profile_position.png",4,220,900)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0.008064729059999999</v>
      </c>
      <c r="G3313" t="n">
        <v>0.7125732855798214</v>
      </c>
      <c r="H3313" t="n">
        <v>0.0220793393263673</v>
      </c>
      <c r="I3313" t="n">
        <v>0.06856542865777041</v>
      </c>
      <c r="J3313" t="n">
        <v>2.266475733256411e-05</v>
      </c>
      <c r="K3313" t="n">
        <v>0.9841695480221724</v>
      </c>
      <c r="L3313" t="b">
        <v>0</v>
      </c>
      <c r="M3313" t="b">
        <v>0</v>
      </c>
      <c r="N3313" t="inlineStr">
        <is>
          <t>alt</t>
        </is>
      </c>
      <c r="O3313" t="n">
        <v>85</v>
      </c>
      <c r="P3313" t="n">
        <v>0.007607</v>
      </c>
      <c r="Q3313" t="n">
        <v>-45</v>
      </c>
      <c r="R3313" t="n">
        <v>0.08765000000000001</v>
      </c>
      <c r="S3313">
        <f>IMAGE("https://mitra.stanford.edu/kundaje/oak/projects/neuro-variants/variant_position/credible/roussos_2024/variant_figures/roussos_2024.childhood.GLU/rs967270_count_position.png",4,220,900)</f>
        <v/>
      </c>
      <c r="T3313">
        <f>IMAGE("https://mitra.stanford.edu/kundaje/oak/projects/neuro-variants/variant_position/credible/roussos_2024/variant_figures/roussos_2024.childhood.GLU/rs967270_profile_position.png",4,220,900)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0.0395269422</v>
      </c>
      <c r="G3314" t="n">
        <v>0.1823986794636424</v>
      </c>
      <c r="H3314" t="n">
        <v>0.0130636750352123</v>
      </c>
      <c r="I3314" t="n">
        <v>0.3567732059338316</v>
      </c>
      <c r="J3314" t="n">
        <v>0.0497388401825542</v>
      </c>
      <c r="K3314" t="n">
        <v>0.3481965085404872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0.004166</v>
      </c>
      <c r="Q3314" t="n">
        <v>35</v>
      </c>
      <c r="R3314" t="n">
        <v>0.0359</v>
      </c>
      <c r="S3314">
        <f>IMAGE("https://mitra.stanford.edu/kundaje/oak/projects/neuro-variants/variant_position/credible/roussos_2024/variant_figures/roussos_2024.childhood.GLU/rs25913_count_position.png",4,220,900)</f>
        <v/>
      </c>
      <c r="T3314">
        <f>IMAGE("https://mitra.stanford.edu/kundaje/oak/projects/neuro-variants/variant_position/credible/roussos_2024/variant_figures/roussos_2024.childhood.GLU/rs25913_profile_position.png",4,220,900)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0.0543179656</v>
      </c>
      <c r="G3315" t="n">
        <v>0.150976988976312</v>
      </c>
      <c r="H3315" t="n">
        <v>0.0089964768058564</v>
      </c>
      <c r="I3315" t="n">
        <v>0.7573336654951688</v>
      </c>
      <c r="J3315" t="n">
        <v>0.000841686670032</v>
      </c>
      <c r="K3315" t="n">
        <v>0.8333776950732787</v>
      </c>
      <c r="L3315" t="b">
        <v>0</v>
      </c>
      <c r="M3315" t="b">
        <v>0</v>
      </c>
      <c r="N3315" t="inlineStr">
        <is>
          <t>alt</t>
        </is>
      </c>
      <c r="O3315" t="n">
        <v>70</v>
      </c>
      <c r="P3315" t="n">
        <v>0.0141</v>
      </c>
      <c r="Q3315" t="n">
        <v>-100</v>
      </c>
      <c r="R3315" t="n">
        <v>0.0801</v>
      </c>
      <c r="S3315">
        <f>IMAGE("https://mitra.stanford.edu/kundaje/oak/projects/neuro-variants/variant_position/credible/roussos_2024/variant_figures/roussos_2024.childhood.GLU/rs31609_count_position.png",4,220,900)</f>
        <v/>
      </c>
      <c r="T3315">
        <f>IMAGE("https://mitra.stanford.edu/kundaje/oak/projects/neuro-variants/variant_position/credible/roussos_2024/variant_figures/roussos_2024.childhood.GLU/rs31609_profile_position.png",4,220,900)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0.003100607992</v>
      </c>
      <c r="G3316" t="n">
        <v>0.8480558728311987</v>
      </c>
      <c r="H3316" t="n">
        <v>0.0280415227116359</v>
      </c>
      <c r="I3316" t="n">
        <v>0.0280075311480902</v>
      </c>
      <c r="J3316" t="n">
        <v>0.0280373350366241</v>
      </c>
      <c r="K3316" t="n">
        <v>0.4390023334155526</v>
      </c>
      <c r="L3316" t="b">
        <v>0</v>
      </c>
      <c r="M3316" t="b">
        <v>0</v>
      </c>
      <c r="N3316" t="inlineStr">
        <is>
          <t>alt</t>
        </is>
      </c>
      <c r="O3316" t="n">
        <v>40</v>
      </c>
      <c r="P3316" t="n">
        <v>0.003769</v>
      </c>
      <c r="Q3316" t="n">
        <v>95</v>
      </c>
      <c r="R3316" t="n">
        <v>0.04974</v>
      </c>
      <c r="S3316">
        <f>IMAGE("https://mitra.stanford.edu/kundaje/oak/projects/neuro-variants/variant_position/credible/roussos_2024/variant_figures/roussos_2024.childhood.GLU/rs31598_count_position.png",4,220,900)</f>
        <v/>
      </c>
      <c r="T3316">
        <f>IMAGE("https://mitra.stanford.edu/kundaje/oak/projects/neuro-variants/variant_position/credible/roussos_2024/variant_figures/roussos_2024.childhood.GLU/rs31598_profile_position.png",4,220,900)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0.0335366013999999</v>
      </c>
      <c r="G3317" t="n">
        <v>0.1855807326264471</v>
      </c>
      <c r="H3317" t="n">
        <v>0.0170992735933331</v>
      </c>
      <c r="I3317" t="n">
        <v>0.1668488026440756</v>
      </c>
      <c r="J3317" t="n">
        <v>0.0062173550228192</v>
      </c>
      <c r="K3317" t="n">
        <v>0.6446806664823099</v>
      </c>
      <c r="L3317" t="b">
        <v>0</v>
      </c>
      <c r="M3317" t="b">
        <v>0</v>
      </c>
      <c r="N3317" t="inlineStr">
        <is>
          <t>alt</t>
        </is>
      </c>
      <c r="O3317" t="n">
        <v>80</v>
      </c>
      <c r="P3317" t="n">
        <v>0.02258</v>
      </c>
      <c r="Q3317" t="n">
        <v>-50</v>
      </c>
      <c r="R3317" t="n">
        <v>0.06216</v>
      </c>
      <c r="S3317">
        <f>IMAGE("https://mitra.stanford.edu/kundaje/oak/projects/neuro-variants/variant_position/credible/roussos_2024/variant_figures/roussos_2024.childhood.GLU/rs253243_count_position.png",4,220,900)</f>
        <v/>
      </c>
      <c r="T3317">
        <f>IMAGE("https://mitra.stanford.edu/kundaje/oak/projects/neuro-variants/variant_position/credible/roussos_2024/variant_figures/roussos_2024.childhood.GLU/rs253243_profile_position.png",4,220,900)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0.0468477799</v>
      </c>
      <c r="G3318" t="n">
        <v>0.2028079167528874</v>
      </c>
      <c r="H3318" t="n">
        <v>0.031415713568051</v>
      </c>
      <c r="I3318" t="n">
        <v>0.0175365058115952</v>
      </c>
      <c r="J3318" t="n">
        <v>0.0118443961387494</v>
      </c>
      <c r="K3318" t="n">
        <v>0.5659859186874447</v>
      </c>
      <c r="L3318" t="b">
        <v>1</v>
      </c>
      <c r="M3318" t="b">
        <v>0</v>
      </c>
      <c r="N3318" t="inlineStr">
        <is>
          <t>alt</t>
        </is>
      </c>
      <c r="O3318" t="n">
        <v>-50</v>
      </c>
      <c r="P3318" t="n">
        <v>0.0006256</v>
      </c>
      <c r="Q3318" t="n">
        <v>-50</v>
      </c>
      <c r="R3318" t="n">
        <v>0.0307</v>
      </c>
      <c r="S3318">
        <f>IMAGE("https://mitra.stanford.edu/kundaje/oak/projects/neuro-variants/variant_position/credible/roussos_2024/variant_figures/roussos_2024.childhood.GLU/rs845739_count_position.png",4,220,900)</f>
        <v/>
      </c>
      <c r="T3318">
        <f>IMAGE("https://mitra.stanford.edu/kundaje/oak/projects/neuro-variants/variant_position/credible/roussos_2024/variant_figures/roussos_2024.childhood.GLU/rs845739_profile_position.png",4,220,900)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-0.0510577431999999</v>
      </c>
      <c r="G3319" t="n">
        <v>0.1760084296016192</v>
      </c>
      <c r="H3319" t="n">
        <v>0.0198545441250061</v>
      </c>
      <c r="I3319" t="n">
        <v>0.1017562590776986</v>
      </c>
      <c r="J3319" t="n">
        <v>0.7335314782572862</v>
      </c>
      <c r="K3319" t="n">
        <v>0.0119742461650202</v>
      </c>
      <c r="L3319" t="b">
        <v>0</v>
      </c>
      <c r="M3319" t="b">
        <v>0</v>
      </c>
      <c r="N3319" t="inlineStr">
        <is>
          <t>ref</t>
        </is>
      </c>
      <c r="O3319" t="n">
        <v>-55</v>
      </c>
      <c r="P3319" t="n">
        <v>0.007812</v>
      </c>
      <c r="Q3319" t="n">
        <v>90</v>
      </c>
      <c r="R3319" t="n">
        <v>0.1085</v>
      </c>
      <c r="S3319">
        <f>IMAGE("https://mitra.stanford.edu/kundaje/oak/projects/neuro-variants/variant_position/credible/roussos_2024/variant_figures/roussos_2024.childhood.GLU/rs1438662_count_position.png",4,220,900)</f>
        <v/>
      </c>
      <c r="T3319">
        <f>IMAGE("https://mitra.stanford.edu/kundaje/oak/projects/neuro-variants/variant_position/credible/roussos_2024/variant_figures/roussos_2024.childhood.GLU/rs1438662_profile_position.png",4,220,900)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-0.0610172928</v>
      </c>
      <c r="G3320" t="n">
        <v>0.1079932326499095</v>
      </c>
      <c r="H3320" t="n">
        <v>0.0158064955916064</v>
      </c>
      <c r="I3320" t="n">
        <v>0.2105339033401042</v>
      </c>
      <c r="J3320" t="n">
        <v>0.0518744784530272</v>
      </c>
      <c r="K3320" t="n">
        <v>0.3476612807057537</v>
      </c>
      <c r="L3320" t="b">
        <v>0</v>
      </c>
      <c r="M3320" t="b">
        <v>0</v>
      </c>
      <c r="N3320" t="inlineStr">
        <is>
          <t>ref</t>
        </is>
      </c>
      <c r="O3320" t="n">
        <v>-25</v>
      </c>
      <c r="P3320" t="n">
        <v>0.000992</v>
      </c>
      <c r="Q3320" t="n">
        <v>-55</v>
      </c>
      <c r="R3320" t="n">
        <v>0.0886</v>
      </c>
      <c r="S3320">
        <f>IMAGE("https://mitra.stanford.edu/kundaje/oak/projects/neuro-variants/variant_position/credible/roussos_2024/variant_figures/roussos_2024.childhood.GLU/rs3819904_count_position.png",4,220,900)</f>
        <v/>
      </c>
      <c r="T3320">
        <f>IMAGE("https://mitra.stanford.edu/kundaje/oak/projects/neuro-variants/variant_position/credible/roussos_2024/variant_figures/roussos_2024.childhood.GLU/rs3819904_profile_position.png",4,220,900)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-0.008459183999999899</v>
      </c>
      <c r="G3321" t="n">
        <v>0.4666573254750298</v>
      </c>
      <c r="H3321" t="n">
        <v>0.0234260019842024</v>
      </c>
      <c r="I3321" t="n">
        <v>0.0556167537572966</v>
      </c>
      <c r="J3321" t="n">
        <v>0.0842047245716875</v>
      </c>
      <c r="K3321" t="n">
        <v>0.2740989730478116</v>
      </c>
      <c r="L3321" t="b">
        <v>0</v>
      </c>
      <c r="M3321" t="b">
        <v>0</v>
      </c>
      <c r="N3321" t="inlineStr">
        <is>
          <t>ref</t>
        </is>
      </c>
      <c r="O3321" t="n">
        <v>35</v>
      </c>
      <c r="P3321" t="n">
        <v>0.01318</v>
      </c>
      <c r="Q3321" t="n">
        <v>-20</v>
      </c>
      <c r="R3321" t="n">
        <v>0.0337</v>
      </c>
      <c r="S3321">
        <f>IMAGE("https://mitra.stanford.edu/kundaje/oak/projects/neuro-variants/variant_position/credible/roussos_2024/variant_figures/roussos_2024.childhood.GLU/rs1370960_count_position.png",4,220,900)</f>
        <v/>
      </c>
      <c r="T3321">
        <f>IMAGE("https://mitra.stanford.edu/kundaje/oak/projects/neuro-variants/variant_position/credible/roussos_2024/variant_figures/roussos_2024.childhood.GLU/rs1370960_profile_position.png",4,220,900)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0.02827314736</v>
      </c>
      <c r="G3322" t="n">
        <v>0.3974240559364775</v>
      </c>
      <c r="H3322" t="n">
        <v>0.0176679034747162</v>
      </c>
      <c r="I3322" t="n">
        <v>0.1562770796421927</v>
      </c>
      <c r="J3322" t="n">
        <v>0.0055600770601748</v>
      </c>
      <c r="K3322" t="n">
        <v>0.6746278303316283</v>
      </c>
      <c r="L3322" t="b">
        <v>0</v>
      </c>
      <c r="M3322" t="b">
        <v>0</v>
      </c>
      <c r="N3322" t="inlineStr">
        <is>
          <t>alt</t>
        </is>
      </c>
      <c r="O3322" t="n">
        <v>-100</v>
      </c>
      <c r="P3322" t="n">
        <v>0.001667</v>
      </c>
      <c r="Q3322" t="n">
        <v>-20</v>
      </c>
      <c r="R3322" t="n">
        <v>0.02142</v>
      </c>
      <c r="S3322">
        <f>IMAGE("https://mitra.stanford.edu/kundaje/oak/projects/neuro-variants/variant_position/credible/roussos_2024/variant_figures/roussos_2024.childhood.GLU/rs6897334_count_position.png",4,220,900)</f>
        <v/>
      </c>
      <c r="T3322">
        <f>IMAGE("https://mitra.stanford.edu/kundaje/oak/projects/neuro-variants/variant_position/credible/roussos_2024/variant_figures/roussos_2024.childhood.GLU/rs6897334_profile_position.png",4,220,900)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-0.07829781799999989</v>
      </c>
      <c r="G3323" t="n">
        <v>0.07983546932819741</v>
      </c>
      <c r="H3323" t="n">
        <v>0.0115534918570213</v>
      </c>
      <c r="I3323" t="n">
        <v>0.4884126941490524</v>
      </c>
      <c r="J3323" t="n">
        <v>0.0158416351592198</v>
      </c>
      <c r="K3323" t="n">
        <v>0.5272290506971493</v>
      </c>
      <c r="L3323" t="b">
        <v>0</v>
      </c>
      <c r="M3323" t="b">
        <v>0</v>
      </c>
      <c r="N3323" t="inlineStr">
        <is>
          <t>ref</t>
        </is>
      </c>
      <c r="O3323" t="n">
        <v>35</v>
      </c>
      <c r="P3323" t="n">
        <v>0.003944</v>
      </c>
      <c r="Q3323" t="n">
        <v>80</v>
      </c>
      <c r="R3323" t="n">
        <v>0.1327</v>
      </c>
      <c r="S3323">
        <f>IMAGE("https://mitra.stanford.edu/kundaje/oak/projects/neuro-variants/variant_position/credible/roussos_2024/variant_figures/roussos_2024.childhood.GLU/rs2269201_count_position.png",4,220,900)</f>
        <v/>
      </c>
      <c r="T3323">
        <f>IMAGE("https://mitra.stanford.edu/kundaje/oak/projects/neuro-variants/variant_position/credible/roussos_2024/variant_figures/roussos_2024.childhood.GLU/rs2269201_profile_position.png",4,220,900)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0.008806903039999999</v>
      </c>
      <c r="G3324" t="n">
        <v>0.6735660657820527</v>
      </c>
      <c r="H3324" t="n">
        <v>0.008166976077834899</v>
      </c>
      <c r="I3324" t="n">
        <v>0.8572220147095809</v>
      </c>
      <c r="J3324" t="n">
        <v>0.0001864691398724</v>
      </c>
      <c r="K3324" t="n">
        <v>0.9156995706213602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0.0113</v>
      </c>
      <c r="Q3324" t="n">
        <v>30</v>
      </c>
      <c r="R3324" t="n">
        <v>0.04218</v>
      </c>
      <c r="S3324">
        <f>IMAGE("https://mitra.stanford.edu/kundaje/oak/projects/neuro-variants/variant_position/credible/roussos_2024/variant_figures/roussos_2024.childhood.GLU/rs34387996_count_position.png",4,220,900)</f>
        <v/>
      </c>
      <c r="T3324">
        <f>IMAGE("https://mitra.stanford.edu/kundaje/oak/projects/neuro-variants/variant_position/credible/roussos_2024/variant_figures/roussos_2024.childhood.GLU/rs34387996_profile_position.png",4,220,900)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0.0361823245999999</v>
      </c>
      <c r="G3325" t="n">
        <v>0.265657121679167</v>
      </c>
      <c r="H3325" t="n">
        <v>0.0355927733341098</v>
      </c>
      <c r="I3325" t="n">
        <v>0.0104241433707791</v>
      </c>
      <c r="J3325" t="n">
        <v>0.0002925814128385</v>
      </c>
      <c r="K3325" t="n">
        <v>0.9001756855538577</v>
      </c>
      <c r="L3325" t="b">
        <v>0</v>
      </c>
      <c r="M3325" t="b">
        <v>0</v>
      </c>
      <c r="N3325" t="inlineStr">
        <is>
          <t>alt</t>
        </is>
      </c>
      <c r="O3325" t="n">
        <v>90</v>
      </c>
      <c r="P3325" t="n">
        <v>0.01773</v>
      </c>
      <c r="Q3325" t="n">
        <v>-95</v>
      </c>
      <c r="R3325" t="n">
        <v>0.061</v>
      </c>
      <c r="S3325">
        <f>IMAGE("https://mitra.stanford.edu/kundaje/oak/projects/neuro-variants/variant_position/credible/roussos_2024/variant_figures/roussos_2024.childhood.GLU/rs10463428_count_position.png",4,220,900)</f>
        <v/>
      </c>
      <c r="T3325">
        <f>IMAGE("https://mitra.stanford.edu/kundaje/oak/projects/neuro-variants/variant_position/credible/roussos_2024/variant_figures/roussos_2024.childhood.GLU/rs10463428_profile_position.png",4,220,900)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-0.0597173594</v>
      </c>
      <c r="G3326" t="n">
        <v>0.1318394784941078</v>
      </c>
      <c r="H3326" t="n">
        <v>0.0160492236058358</v>
      </c>
      <c r="I3326" t="n">
        <v>0.2035801100323606</v>
      </c>
      <c r="J3326" t="n">
        <v>0.0015597473909773</v>
      </c>
      <c r="K3326" t="n">
        <v>0.7862734325687857</v>
      </c>
      <c r="L3326" t="b">
        <v>0</v>
      </c>
      <c r="M3326" t="b">
        <v>0</v>
      </c>
      <c r="N3326" t="inlineStr">
        <is>
          <t>ref</t>
        </is>
      </c>
      <c r="O3326" t="n">
        <v>75</v>
      </c>
      <c r="P3326" t="n">
        <v>0.02545</v>
      </c>
      <c r="Q3326" t="n">
        <v>45</v>
      </c>
      <c r="R3326" t="n">
        <v>0.068</v>
      </c>
      <c r="S3326">
        <f>IMAGE("https://mitra.stanford.edu/kundaje/oak/projects/neuro-variants/variant_position/credible/roussos_2024/variant_figures/roussos_2024.childhood.GLU/rs2416217_count_position.png",4,220,900)</f>
        <v/>
      </c>
      <c r="T3326">
        <f>IMAGE("https://mitra.stanford.edu/kundaje/oak/projects/neuro-variants/variant_position/credible/roussos_2024/variant_figures/roussos_2024.childhood.GLU/rs2416217_profile_position.png",4,220,900)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-0.0131192869999999</v>
      </c>
      <c r="G3327" t="n">
        <v>0.601715522515344</v>
      </c>
      <c r="H3327" t="n">
        <v>0.0123868278579903</v>
      </c>
      <c r="I3327" t="n">
        <v>0.4234131588023452</v>
      </c>
      <c r="J3327" t="n">
        <v>0.0015515056610382</v>
      </c>
      <c r="K3327" t="n">
        <v>0.7870085367569737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0.02734</v>
      </c>
      <c r="Q3327" t="n">
        <v>35</v>
      </c>
      <c r="R3327" t="n">
        <v>0.063</v>
      </c>
      <c r="S3327">
        <f>IMAGE("https://mitra.stanford.edu/kundaje/oak/projects/neuro-variants/variant_position/credible/roussos_2024/variant_figures/roussos_2024.childhood.GLU/rs2416218_count_position.png",4,220,900)</f>
        <v/>
      </c>
      <c r="T3327">
        <f>IMAGE("https://mitra.stanford.edu/kundaje/oak/projects/neuro-variants/variant_position/credible/roussos_2024/variant_figures/roussos_2024.childhood.GLU/rs2416218_profile_position.png",4,220,900)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-0.00152637924</v>
      </c>
      <c r="G3328" t="n">
        <v>0.7888431126242533</v>
      </c>
      <c r="H3328" t="n">
        <v>0.0100259157422167</v>
      </c>
      <c r="I3328" t="n">
        <v>0.6549940250254965</v>
      </c>
      <c r="J3328" t="n">
        <v>0.0153368292004491</v>
      </c>
      <c r="K3328" t="n">
        <v>0.5425973014195542</v>
      </c>
      <c r="L3328" t="b">
        <v>0</v>
      </c>
      <c r="M3328" t="b">
        <v>0</v>
      </c>
      <c r="N3328" t="inlineStr">
        <is>
          <t>ref</t>
        </is>
      </c>
      <c r="O3328" t="n">
        <v>-80</v>
      </c>
      <c r="P3328" t="n">
        <v>0.001476</v>
      </c>
      <c r="Q3328" t="n">
        <v>20</v>
      </c>
      <c r="R3328" t="n">
        <v>0.03915</v>
      </c>
      <c r="S3328">
        <f>IMAGE("https://mitra.stanford.edu/kundaje/oak/projects/neuro-variants/variant_position/credible/roussos_2024/variant_figures/roussos_2024.childhood.GLU/rs3756597_count_position.png",4,220,900)</f>
        <v/>
      </c>
      <c r="T3328">
        <f>IMAGE("https://mitra.stanford.edu/kundaje/oak/projects/neuro-variants/variant_position/credible/roussos_2024/variant_figures/roussos_2024.childhood.GLU/rs3756597_profile_position.png",4,220,900)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0.0309945395</v>
      </c>
      <c r="G3329" t="n">
        <v>0.3049429511636703</v>
      </c>
      <c r="H3329" t="n">
        <v>0.0159009762528076</v>
      </c>
      <c r="I3329" t="n">
        <v>0.2091569083085484</v>
      </c>
      <c r="J3329" t="n">
        <v>0.0606107121884882</v>
      </c>
      <c r="K3329" t="n">
        <v>0.3416873853227247</v>
      </c>
      <c r="L3329" t="b">
        <v>0</v>
      </c>
      <c r="M3329" t="b">
        <v>0</v>
      </c>
      <c r="N3329" t="inlineStr">
        <is>
          <t>alt</t>
        </is>
      </c>
      <c r="O3329" t="n">
        <v>-10</v>
      </c>
      <c r="P3329" t="n">
        <v>0.001396</v>
      </c>
      <c r="Q3329" t="n">
        <v>-10</v>
      </c>
      <c r="R3329" t="n">
        <v>0.01855</v>
      </c>
      <c r="S3329">
        <f>IMAGE("https://mitra.stanford.edu/kundaje/oak/projects/neuro-variants/variant_position/credible/roussos_2024/variant_figures/roussos_2024.childhood.GLU/rs13187248_count_position.png",4,220,900)</f>
        <v/>
      </c>
      <c r="T3329">
        <f>IMAGE("https://mitra.stanford.edu/kundaje/oak/projects/neuro-variants/variant_position/credible/roussos_2024/variant_figures/roussos_2024.childhood.GLU/rs13187248_profile_position.png",4,220,900)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-0.206739394</v>
      </c>
      <c r="G3330" t="n">
        <v>0.006755125640987</v>
      </c>
      <c r="H3330" t="n">
        <v>0.0339203196366185</v>
      </c>
      <c r="I3330" t="n">
        <v>0.0133934533759724</v>
      </c>
      <c r="J3330" t="n">
        <v>0.0620293199542583</v>
      </c>
      <c r="K3330" t="n">
        <v>0.3379525237272437</v>
      </c>
      <c r="L3330" t="b">
        <v>1</v>
      </c>
      <c r="M3330" t="b">
        <v>1</v>
      </c>
      <c r="N3330" t="inlineStr">
        <is>
          <t>ref</t>
        </is>
      </c>
      <c r="O3330" t="n">
        <v>-35</v>
      </c>
      <c r="P3330" t="n">
        <v>0.003021</v>
      </c>
      <c r="Q3330" t="n">
        <v>-100</v>
      </c>
      <c r="R3330" t="n">
        <v>0.1304</v>
      </c>
      <c r="S3330">
        <f>IMAGE("https://mitra.stanford.edu/kundaje/oak/projects/neuro-variants/variant_position/credible/roussos_2024/variant_figures/roussos_2024.childhood.GLU/rs13187428_count_position.png",4,220,900)</f>
        <v/>
      </c>
      <c r="T3330">
        <f>IMAGE("https://mitra.stanford.edu/kundaje/oak/projects/neuro-variants/variant_position/credible/roussos_2024/variant_figures/roussos_2024.childhood.GLU/rs13187428_profile_position.png",4,220,900)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-0.003366799624</v>
      </c>
      <c r="G3331" t="n">
        <v>0.7476634539647213</v>
      </c>
      <c r="H3331" t="n">
        <v>0.0308951866880702</v>
      </c>
      <c r="I3331" t="n">
        <v>0.0187474836554925</v>
      </c>
      <c r="J3331" t="n">
        <v>0.0116713198100281</v>
      </c>
      <c r="K3331" t="n">
        <v>0.5742978756349274</v>
      </c>
      <c r="L3331" t="b">
        <v>1</v>
      </c>
      <c r="M3331" t="b">
        <v>0</v>
      </c>
      <c r="N3331" t="inlineStr">
        <is>
          <t>ref</t>
        </is>
      </c>
      <c r="O3331" t="n">
        <v>-75</v>
      </c>
      <c r="P3331" t="n">
        <v>0.00817</v>
      </c>
      <c r="Q3331" t="n">
        <v>30</v>
      </c>
      <c r="R3331" t="n">
        <v>0.04843</v>
      </c>
      <c r="S3331">
        <f>IMAGE("https://mitra.stanford.edu/kundaje/oak/projects/neuro-variants/variant_position/credible/roussos_2024/variant_figures/roussos_2024.childhood.GLU/rs10041575_count_position.png",4,220,900)</f>
        <v/>
      </c>
      <c r="T3331">
        <f>IMAGE("https://mitra.stanford.edu/kundaje/oak/projects/neuro-variants/variant_position/credible/roussos_2024/variant_figures/roussos_2024.childhood.GLU/rs10041575_profile_position.png",4,220,900)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0.171093466</v>
      </c>
      <c r="G3332" t="n">
        <v>0.0133036940299434</v>
      </c>
      <c r="H3332" t="n">
        <v>0.0229746818407679</v>
      </c>
      <c r="I3332" t="n">
        <v>0.06934187536286771</v>
      </c>
      <c r="J3332" t="n">
        <v>0.0113818290459167</v>
      </c>
      <c r="K3332" t="n">
        <v>0.5672191380876381</v>
      </c>
      <c r="L3332" t="b">
        <v>1</v>
      </c>
      <c r="M3332" t="b">
        <v>0</v>
      </c>
      <c r="N3332" t="inlineStr">
        <is>
          <t>alt</t>
        </is>
      </c>
      <c r="O3332" t="n">
        <v>-100</v>
      </c>
      <c r="P3332" t="n">
        <v>0.00377</v>
      </c>
      <c r="Q3332" t="n">
        <v>0</v>
      </c>
      <c r="R3332" t="n">
        <v>0</v>
      </c>
      <c r="S3332">
        <f>IMAGE("https://mitra.stanford.edu/kundaje/oak/projects/neuro-variants/variant_position/credible/roussos_2024/variant_figures/roussos_2024.childhood.GLU/rs3753174_count_position.png",4,220,900)</f>
        <v/>
      </c>
      <c r="T3332">
        <f>IMAGE("https://mitra.stanford.edu/kundaje/oak/projects/neuro-variants/variant_position/credible/roussos_2024/variant_figures/roussos_2024.childhood.GLU/rs3753174_profile_position.png",4,220,900)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0.0056098137799999</v>
      </c>
      <c r="G3333" t="n">
        <v>0.7230098681572498</v>
      </c>
      <c r="H3333" t="n">
        <v>0.0193782784269338</v>
      </c>
      <c r="I3333" t="n">
        <v>0.1080680872675078</v>
      </c>
      <c r="J3333" t="n">
        <v>0.0052479215387309</v>
      </c>
      <c r="K3333" t="n">
        <v>0.6728110732132088</v>
      </c>
      <c r="L3333" t="b">
        <v>0</v>
      </c>
      <c r="M3333" t="b">
        <v>0</v>
      </c>
      <c r="N3333" t="inlineStr">
        <is>
          <t>alt</t>
        </is>
      </c>
      <c r="O3333" t="n">
        <v>85</v>
      </c>
      <c r="P3333" t="n">
        <v>0.01294</v>
      </c>
      <c r="Q3333" t="n">
        <v>85</v>
      </c>
      <c r="R3333" t="n">
        <v>0.188</v>
      </c>
      <c r="S3333">
        <f>IMAGE("https://mitra.stanford.edu/kundaje/oak/projects/neuro-variants/variant_position/credible/roussos_2024/variant_figures/roussos_2024.childhood.GLU/rs2042164_count_position.png",4,220,900)</f>
        <v/>
      </c>
      <c r="T3333">
        <f>IMAGE("https://mitra.stanford.edu/kundaje/oak/projects/neuro-variants/variant_position/credible/roussos_2024/variant_figures/roussos_2024.childhood.GLU/rs2042164_profile_position.png",4,220,900)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0.0205372792</v>
      </c>
      <c r="G3334" t="n">
        <v>0.4510797110657836</v>
      </c>
      <c r="H3334" t="n">
        <v>0.008499403721462</v>
      </c>
      <c r="I3334" t="n">
        <v>0.8196754597754633</v>
      </c>
      <c r="J3334" t="n">
        <v>0.0007819341279733</v>
      </c>
      <c r="K3334" t="n">
        <v>0.8461195345394039</v>
      </c>
      <c r="L3334" t="b">
        <v>0</v>
      </c>
      <c r="M3334" t="b">
        <v>0</v>
      </c>
      <c r="N3334" t="inlineStr">
        <is>
          <t>alt</t>
        </is>
      </c>
      <c r="O3334" t="n">
        <v>90</v>
      </c>
      <c r="P3334" t="n">
        <v>0.04443</v>
      </c>
      <c r="Q3334" t="n">
        <v>-85</v>
      </c>
      <c r="R3334" t="n">
        <v>0.05612</v>
      </c>
      <c r="S3334">
        <f>IMAGE("https://mitra.stanford.edu/kundaje/oak/projects/neuro-variants/variant_position/credible/roussos_2024/variant_figures/roussos_2024.childhood.GLU/rs34595717_count_position.png",4,220,900)</f>
        <v/>
      </c>
      <c r="T3334">
        <f>IMAGE("https://mitra.stanford.edu/kundaje/oak/projects/neuro-variants/variant_position/credible/roussos_2024/variant_figures/roussos_2024.childhood.GLU/rs34595717_profile_position.png",4,220,900)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-0.0251553538</v>
      </c>
      <c r="G3335" t="n">
        <v>0.2273586169563637</v>
      </c>
      <c r="H3335" t="n">
        <v>0.0203330040417635</v>
      </c>
      <c r="I3335" t="n">
        <v>0.0919929385327859</v>
      </c>
      <c r="J3335" t="n">
        <v>0.0183090030597421</v>
      </c>
      <c r="K3335" t="n">
        <v>0.5078153477272714</v>
      </c>
      <c r="L3335" t="b">
        <v>0</v>
      </c>
      <c r="M3335" t="b">
        <v>0</v>
      </c>
      <c r="N3335" t="inlineStr">
        <is>
          <t>ref</t>
        </is>
      </c>
      <c r="O3335" t="n">
        <v>-100</v>
      </c>
      <c r="P3335" t="n">
        <v>0.006947</v>
      </c>
      <c r="Q3335" t="n">
        <v>80</v>
      </c>
      <c r="R3335" t="n">
        <v>0.03784</v>
      </c>
      <c r="S3335">
        <f>IMAGE("https://mitra.stanford.edu/kundaje/oak/projects/neuro-variants/variant_position/credible/roussos_2024/variant_figures/roussos_2024.childhood.GLU/rs13189822_count_position.png",4,220,900)</f>
        <v/>
      </c>
      <c r="T3335">
        <f>IMAGE("https://mitra.stanford.edu/kundaje/oak/projects/neuro-variants/variant_position/credible/roussos_2024/variant_figures/roussos_2024.childhood.GLU/rs13189822_profile_position.png",4,220,900)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-0.01987586</v>
      </c>
      <c r="G3336" t="n">
        <v>0.3956960838319432</v>
      </c>
      <c r="H3336" t="n">
        <v>0.0305611361161938</v>
      </c>
      <c r="I3336" t="n">
        <v>0.0199224434689928</v>
      </c>
      <c r="J3336" t="n">
        <v>0.0299720811398311</v>
      </c>
      <c r="K3336" t="n">
        <v>0.4283968491208393</v>
      </c>
      <c r="L3336" t="b">
        <v>1</v>
      </c>
      <c r="M3336" t="b">
        <v>0</v>
      </c>
      <c r="N3336" t="inlineStr">
        <is>
          <t>ref</t>
        </is>
      </c>
      <c r="O3336" t="n">
        <v>85</v>
      </c>
      <c r="P3336" t="n">
        <v>0.01093</v>
      </c>
      <c r="Q3336" t="n">
        <v>65</v>
      </c>
      <c r="R3336" t="n">
        <v>0.0857</v>
      </c>
      <c r="S3336">
        <f>IMAGE("https://mitra.stanford.edu/kundaje/oak/projects/neuro-variants/variant_position/credible/roussos_2024/variant_figures/roussos_2024.childhood.GLU/rs2269205_count_position.png",4,220,900)</f>
        <v/>
      </c>
      <c r="T3336">
        <f>IMAGE("https://mitra.stanford.edu/kundaje/oak/projects/neuro-variants/variant_position/credible/roussos_2024/variant_figures/roussos_2024.childhood.GLU/rs2269205_profile_position.png",4,220,900)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-0.112098728</v>
      </c>
      <c r="G3337" t="n">
        <v>0.0352852831214771</v>
      </c>
      <c r="H3337" t="n">
        <v>0.0189443488894566</v>
      </c>
      <c r="I3337" t="n">
        <v>0.1203777822076509</v>
      </c>
      <c r="J3337" t="n">
        <v>0.0289552577085929</v>
      </c>
      <c r="K3337" t="n">
        <v>0.4335311652574332</v>
      </c>
      <c r="L3337" t="b">
        <v>0</v>
      </c>
      <c r="M3337" t="b">
        <v>0</v>
      </c>
      <c r="N3337" t="inlineStr">
        <is>
          <t>ref</t>
        </is>
      </c>
      <c r="O3337" t="n">
        <v>-30</v>
      </c>
      <c r="P3337" t="n">
        <v>0.003853</v>
      </c>
      <c r="Q3337" t="n">
        <v>-40</v>
      </c>
      <c r="R3337" t="n">
        <v>0.1127</v>
      </c>
      <c r="S3337">
        <f>IMAGE("https://mitra.stanford.edu/kundaje/oak/projects/neuro-variants/variant_position/credible/roussos_2024/variant_figures/roussos_2024.childhood.GLU/rs2269206_count_position.png",4,220,900)</f>
        <v/>
      </c>
      <c r="T3337">
        <f>IMAGE("https://mitra.stanford.edu/kundaje/oak/projects/neuro-variants/variant_position/credible/roussos_2024/variant_figures/roussos_2024.childhood.GLU/rs2269206_profile_position.png",4,220,900)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0.0166032208</v>
      </c>
      <c r="G3338" t="n">
        <v>0.5027244114064084</v>
      </c>
      <c r="H3338" t="n">
        <v>0.0238560625701359</v>
      </c>
      <c r="I3338" t="n">
        <v>0.0521612562642787</v>
      </c>
      <c r="J3338" t="n">
        <v>0.010197080367169</v>
      </c>
      <c r="K3338" t="n">
        <v>0.5869427805934089</v>
      </c>
      <c r="L3338" t="b">
        <v>0</v>
      </c>
      <c r="M3338" t="b">
        <v>0</v>
      </c>
      <c r="N3338" t="inlineStr">
        <is>
          <t>alt</t>
        </is>
      </c>
      <c r="O3338" t="n">
        <v>-100</v>
      </c>
      <c r="P3338" t="n">
        <v>0.02258</v>
      </c>
      <c r="Q3338" t="n">
        <v>-100</v>
      </c>
      <c r="R3338" t="n">
        <v>0.2358</v>
      </c>
      <c r="S3338">
        <f>IMAGE("https://mitra.stanford.edu/kundaje/oak/projects/neuro-variants/variant_position/credible/roussos_2024/variant_figures/roussos_2024.childhood.GLU/rs2301009_count_position.png",4,220,900)</f>
        <v/>
      </c>
      <c r="T3338">
        <f>IMAGE("https://mitra.stanford.edu/kundaje/oak/projects/neuro-variants/variant_position/credible/roussos_2024/variant_figures/roussos_2024.childhood.GLU/rs2301009_profile_position.png",4,220,900)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-0.0060038246999999</v>
      </c>
      <c r="G3339" t="n">
        <v>0.7898041657513786</v>
      </c>
      <c r="H3339" t="n">
        <v>0.0274929105090418</v>
      </c>
      <c r="I3339" t="n">
        <v>0.0306249328618675</v>
      </c>
      <c r="J3339" t="n">
        <v>0.0278786817352961</v>
      </c>
      <c r="K3339" t="n">
        <v>0.4445314162081918</v>
      </c>
      <c r="L3339" t="b">
        <v>0</v>
      </c>
      <c r="M3339" t="b">
        <v>0</v>
      </c>
      <c r="N3339" t="inlineStr">
        <is>
          <t>ref</t>
        </is>
      </c>
      <c r="O3339" t="n">
        <v>-90</v>
      </c>
      <c r="P3339" t="n">
        <v>0.00586</v>
      </c>
      <c r="Q3339" t="n">
        <v>-65</v>
      </c>
      <c r="R3339" t="n">
        <v>0.1008</v>
      </c>
      <c r="S3339">
        <f>IMAGE("https://mitra.stanford.edu/kundaje/oak/projects/neuro-variants/variant_position/credible/roussos_2024/variant_figures/roussos_2024.childhood.GLU/rs1008661_count_position.png",4,220,900)</f>
        <v/>
      </c>
      <c r="T3339">
        <f>IMAGE("https://mitra.stanford.edu/kundaje/oak/projects/neuro-variants/variant_position/credible/roussos_2024/variant_figures/roussos_2024.childhood.GLU/rs1008661_profile_position.png",4,220,900)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0.1043845419999999</v>
      </c>
      <c r="G3340" t="n">
        <v>0.0394231283820437</v>
      </c>
      <c r="H3340" t="n">
        <v>0.0131544660148636</v>
      </c>
      <c r="I3340" t="n">
        <v>0.3531357123569104</v>
      </c>
      <c r="J3340" t="n">
        <v>0.0055878928987193</v>
      </c>
      <c r="K3340" t="n">
        <v>0.6623684313864976</v>
      </c>
      <c r="L3340" t="b">
        <v>0</v>
      </c>
      <c r="M3340" t="b">
        <v>0</v>
      </c>
      <c r="N3340" t="inlineStr">
        <is>
          <t>alt</t>
        </is>
      </c>
      <c r="O3340" t="n">
        <v>-100</v>
      </c>
      <c r="P3340" t="n">
        <v>0.0232</v>
      </c>
      <c r="Q3340" t="n">
        <v>-100</v>
      </c>
      <c r="R3340" t="n">
        <v>0.06322999999999999</v>
      </c>
      <c r="S3340">
        <f>IMAGE("https://mitra.stanford.edu/kundaje/oak/projects/neuro-variants/variant_position/credible/roussos_2024/variant_figures/roussos_2024.childhood.GLU/rs34052755_count_position.png",4,220,900)</f>
        <v/>
      </c>
      <c r="T3340">
        <f>IMAGE("https://mitra.stanford.edu/kundaje/oak/projects/neuro-variants/variant_position/credible/roussos_2024/variant_figures/roussos_2024.childhood.GLU/rs34052755_profile_position.png",4,220,900)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-0.0506623591999999</v>
      </c>
      <c r="G3341" t="n">
        <v>0.1823744282646936</v>
      </c>
      <c r="H3341" t="n">
        <v>0.014033776915546</v>
      </c>
      <c r="I3341" t="n">
        <v>0.2939498516404412</v>
      </c>
      <c r="J3341" t="n">
        <v>0.0017317935034563</v>
      </c>
      <c r="K3341" t="n">
        <v>0.783275767477625</v>
      </c>
      <c r="L3341" t="b">
        <v>0</v>
      </c>
      <c r="M3341" t="b">
        <v>0</v>
      </c>
      <c r="N3341" t="inlineStr">
        <is>
          <t>ref</t>
        </is>
      </c>
      <c r="O3341" t="n">
        <v>-65</v>
      </c>
      <c r="P3341" t="n">
        <v>0.005695</v>
      </c>
      <c r="Q3341" t="n">
        <v>-90</v>
      </c>
      <c r="R3341" t="n">
        <v>0.0558</v>
      </c>
      <c r="S3341">
        <f>IMAGE("https://mitra.stanford.edu/kundaje/oak/projects/neuro-variants/variant_position/credible/roussos_2024/variant_figures/roussos_2024.childhood.GLU/rs4141495_count_position.png",4,220,900)</f>
        <v/>
      </c>
      <c r="T3341">
        <f>IMAGE("https://mitra.stanford.edu/kundaje/oak/projects/neuro-variants/variant_position/credible/roussos_2024/variant_figures/roussos_2024.childhood.GLU/rs4141495_profile_position.png",4,220,900)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0.008249899559999999</v>
      </c>
      <c r="G3342" t="n">
        <v>0.5935706945592635</v>
      </c>
      <c r="H3342" t="n">
        <v>0.0089624679865407</v>
      </c>
      <c r="I3342" t="n">
        <v>0.7646708569896397</v>
      </c>
      <c r="J3342" t="n">
        <v>0.0100147320922661</v>
      </c>
      <c r="K3342" t="n">
        <v>0.5881659461998319</v>
      </c>
      <c r="L3342" t="b">
        <v>0</v>
      </c>
      <c r="M3342" t="b">
        <v>0</v>
      </c>
      <c r="N3342" t="inlineStr">
        <is>
          <t>alt</t>
        </is>
      </c>
      <c r="O3342" t="n">
        <v>-95</v>
      </c>
      <c r="P3342" t="n">
        <v>0.0215</v>
      </c>
      <c r="Q3342" t="n">
        <v>-80</v>
      </c>
      <c r="R3342" t="n">
        <v>0.05237</v>
      </c>
      <c r="S3342">
        <f>IMAGE("https://mitra.stanford.edu/kundaje/oak/projects/neuro-variants/variant_position/credible/roussos_2024/variant_figures/roussos_2024.childhood.GLU/rs10515405_count_position.png",4,220,900)</f>
        <v/>
      </c>
      <c r="T3342">
        <f>IMAGE("https://mitra.stanford.edu/kundaje/oak/projects/neuro-variants/variant_position/credible/roussos_2024/variant_figures/roussos_2024.childhood.GLU/rs10515405_profile_position.png",4,220,900)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-0.0333039328</v>
      </c>
      <c r="G3343" t="n">
        <v>0.0999999885393715</v>
      </c>
      <c r="H3343" t="n">
        <v>0.018605057755596</v>
      </c>
      <c r="I3343" t="n">
        <v>0.1404295976031141</v>
      </c>
      <c r="J3343" t="n">
        <v>0.4337601862630966</v>
      </c>
      <c r="K3343" t="n">
        <v>0.0562477589083908</v>
      </c>
      <c r="L3343" t="b">
        <v>0</v>
      </c>
      <c r="M3343" t="b">
        <v>0</v>
      </c>
      <c r="N3343" t="inlineStr">
        <is>
          <t>ref</t>
        </is>
      </c>
      <c r="O3343" t="n">
        <v>-50</v>
      </c>
      <c r="P3343" t="n">
        <v>0.003994</v>
      </c>
      <c r="Q3343" t="n">
        <v>40</v>
      </c>
      <c r="R3343" t="n">
        <v>0.02295</v>
      </c>
      <c r="S3343">
        <f>IMAGE("https://mitra.stanford.edu/kundaje/oak/projects/neuro-variants/variant_position/credible/roussos_2024/variant_figures/roussos_2024.childhood.GLU/rs12518625_count_position.png",4,220,900)</f>
        <v/>
      </c>
      <c r="T3343">
        <f>IMAGE("https://mitra.stanford.edu/kundaje/oak/projects/neuro-variants/variant_position/credible/roussos_2024/variant_figures/roussos_2024.childhood.GLU/rs12518625_profile_position.png",4,220,900)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-0.0058013848</v>
      </c>
      <c r="G3344" t="n">
        <v>0.3692231808978589</v>
      </c>
      <c r="H3344" t="n">
        <v>0.0117952909205962</v>
      </c>
      <c r="I3344" t="n">
        <v>0.4749693850962961</v>
      </c>
      <c r="J3344" t="n">
        <v>0.0047204508226276</v>
      </c>
      <c r="K3344" t="n">
        <v>0.6776075210827179</v>
      </c>
      <c r="L3344" t="b">
        <v>0</v>
      </c>
      <c r="M3344" t="b">
        <v>0</v>
      </c>
      <c r="N3344" t="inlineStr">
        <is>
          <t>ref</t>
        </is>
      </c>
      <c r="O3344" t="n">
        <v>-50</v>
      </c>
      <c r="P3344" t="n">
        <v>0.002327</v>
      </c>
      <c r="Q3344" t="n">
        <v>-35</v>
      </c>
      <c r="R3344" t="n">
        <v>0.02698</v>
      </c>
      <c r="S3344">
        <f>IMAGE("https://mitra.stanford.edu/kundaje/oak/projects/neuro-variants/variant_position/credible/roussos_2024/variant_figures/roussos_2024.childhood.GLU/rs10065099_count_position.png",4,220,900)</f>
        <v/>
      </c>
      <c r="T3344">
        <f>IMAGE("https://mitra.stanford.edu/kundaje/oak/projects/neuro-variants/variant_position/credible/roussos_2024/variant_figures/roussos_2024.childhood.GLU/rs10065099_profile_position.png",4,220,900)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0.0043823788599999</v>
      </c>
      <c r="G3345" t="n">
        <v>0.4418820093826833</v>
      </c>
      <c r="H3345" t="n">
        <v>0.0130122623342787</v>
      </c>
      <c r="I3345" t="n">
        <v>0.3676537887764891</v>
      </c>
      <c r="J3345" t="n">
        <v>0.0199295332090205</v>
      </c>
      <c r="K3345" t="n">
        <v>0.5028084965988489</v>
      </c>
      <c r="L3345" t="b">
        <v>0</v>
      </c>
      <c r="M3345" t="b">
        <v>0</v>
      </c>
      <c r="N3345" t="inlineStr">
        <is>
          <t>alt</t>
        </is>
      </c>
      <c r="O3345" t="n">
        <v>60</v>
      </c>
      <c r="P3345" t="n">
        <v>0.02797</v>
      </c>
      <c r="Q3345" t="n">
        <v>-95</v>
      </c>
      <c r="R3345" t="n">
        <v>0.03418</v>
      </c>
      <c r="S3345">
        <f>IMAGE("https://mitra.stanford.edu/kundaje/oak/projects/neuro-variants/variant_position/credible/roussos_2024/variant_figures/roussos_2024.childhood.GLU/rs17162347_count_position.png",4,220,900)</f>
        <v/>
      </c>
      <c r="T3345">
        <f>IMAGE("https://mitra.stanford.edu/kundaje/oak/projects/neuro-variants/variant_position/credible/roussos_2024/variant_figures/roussos_2024.childhood.GLU/rs17162347_profile_position.png",4,220,900)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0.0177764814</v>
      </c>
      <c r="G3346" t="n">
        <v>0.5031393989757865</v>
      </c>
      <c r="H3346" t="n">
        <v>0.0286457974341896</v>
      </c>
      <c r="I3346" t="n">
        <v>0.0255323787244427</v>
      </c>
      <c r="J3346" t="n">
        <v>0.0784406646955195</v>
      </c>
      <c r="K3346" t="n">
        <v>0.2863689919375075</v>
      </c>
      <c r="L3346" t="b">
        <v>0</v>
      </c>
      <c r="M3346" t="b">
        <v>0</v>
      </c>
      <c r="N3346" t="inlineStr">
        <is>
          <t>alt</t>
        </is>
      </c>
      <c r="O3346" t="n">
        <v>-10</v>
      </c>
      <c r="P3346" t="n">
        <v>0.001343</v>
      </c>
      <c r="Q3346" t="n">
        <v>-100</v>
      </c>
      <c r="R3346" t="n">
        <v>0.1886</v>
      </c>
      <c r="S3346">
        <f>IMAGE("https://mitra.stanford.edu/kundaje/oak/projects/neuro-variants/variant_position/credible/roussos_2024/variant_figures/roussos_2024.childhood.GLU/rs12187114_count_position.png",4,220,900)</f>
        <v/>
      </c>
      <c r="T3346">
        <f>IMAGE("https://mitra.stanford.edu/kundaje/oak/projects/neuro-variants/variant_position/credible/roussos_2024/variant_figures/roussos_2024.childhood.GLU/rs12187114_profile_position.png",4,220,900)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0.00597461396</v>
      </c>
      <c r="G3347" t="n">
        <v>0.7625786734648949</v>
      </c>
      <c r="H3347" t="n">
        <v>0.0139433693640313</v>
      </c>
      <c r="I3347" t="n">
        <v>0.3098954381798215</v>
      </c>
      <c r="J3347" t="n">
        <v>0.0731072352086702</v>
      </c>
      <c r="K3347" t="n">
        <v>0.2963920534390848</v>
      </c>
      <c r="L3347" t="b">
        <v>0</v>
      </c>
      <c r="M3347" t="b">
        <v>0</v>
      </c>
      <c r="N3347" t="inlineStr">
        <is>
          <t>alt</t>
        </is>
      </c>
      <c r="O3347" t="n">
        <v>-25</v>
      </c>
      <c r="P3347" t="n">
        <v>0.004265</v>
      </c>
      <c r="Q3347" t="n">
        <v>100</v>
      </c>
      <c r="R3347" t="n">
        <v>0.1309</v>
      </c>
      <c r="S3347">
        <f>IMAGE("https://mitra.stanford.edu/kundaje/oak/projects/neuro-variants/variant_position/credible/roussos_2024/variant_figures/roussos_2024.childhood.GLU/rs11241042_count_position.png",4,220,900)</f>
        <v/>
      </c>
      <c r="T3347">
        <f>IMAGE("https://mitra.stanford.edu/kundaje/oak/projects/neuro-variants/variant_position/credible/roussos_2024/variant_figures/roussos_2024.childhood.GLU/rs11241042_profile_position.png",4,220,900)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0.0983438998</v>
      </c>
      <c r="G3348" t="n">
        <v>0.0474061523963828</v>
      </c>
      <c r="H3348" t="n">
        <v>0.0123221080112365</v>
      </c>
      <c r="I3348" t="n">
        <v>0.4224430543643034</v>
      </c>
      <c r="J3348" t="n">
        <v>0.0212183337282495</v>
      </c>
      <c r="K3348" t="n">
        <v>0.4864391885112689</v>
      </c>
      <c r="L3348" t="b">
        <v>0</v>
      </c>
      <c r="M3348" t="b">
        <v>0</v>
      </c>
      <c r="N3348" t="inlineStr">
        <is>
          <t>alt</t>
        </is>
      </c>
      <c r="O3348" t="n">
        <v>-35</v>
      </c>
      <c r="P3348" t="n">
        <v>0.002613</v>
      </c>
      <c r="Q3348" t="n">
        <v>40</v>
      </c>
      <c r="R3348" t="n">
        <v>0.09064</v>
      </c>
      <c r="S3348">
        <f>IMAGE("https://mitra.stanford.edu/kundaje/oak/projects/neuro-variants/variant_position/credible/roussos_2024/variant_figures/roussos_2024.childhood.GLU/rs12656279_count_position.png",4,220,900)</f>
        <v/>
      </c>
      <c r="T3348">
        <f>IMAGE("https://mitra.stanford.edu/kundaje/oak/projects/neuro-variants/variant_position/credible/roussos_2024/variant_figures/roussos_2024.childhood.GLU/rs12656279_profile_position.png",4,220,900)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0.00014676178</v>
      </c>
      <c r="G3349" t="n">
        <v>0.9303777345622518</v>
      </c>
      <c r="H3349" t="n">
        <v>0.0202998597971999</v>
      </c>
      <c r="I3349" t="n">
        <v>0.0939187745497861</v>
      </c>
      <c r="J3349" t="n">
        <v>0.0418937434967599</v>
      </c>
      <c r="K3349" t="n">
        <v>0.383370045345468</v>
      </c>
      <c r="L3349" t="b">
        <v>0</v>
      </c>
      <c r="M3349" t="b">
        <v>0</v>
      </c>
      <c r="N3349" t="inlineStr">
        <is>
          <t>alt</t>
        </is>
      </c>
      <c r="O3349" t="n">
        <v>-100</v>
      </c>
      <c r="P3349" t="n">
        <v>0.03052</v>
      </c>
      <c r="Q3349" t="n">
        <v>-100</v>
      </c>
      <c r="R3349" t="n">
        <v>0.12463</v>
      </c>
      <c r="S3349">
        <f>IMAGE("https://mitra.stanford.edu/kundaje/oak/projects/neuro-variants/variant_position/credible/roussos_2024/variant_figures/roussos_2024.childhood.GLU/rs6888436_count_position.png",4,220,900)</f>
        <v/>
      </c>
      <c r="T3349">
        <f>IMAGE("https://mitra.stanford.edu/kundaje/oak/projects/neuro-variants/variant_position/credible/roussos_2024/variant_figures/roussos_2024.childhood.GLU/rs6888436_profile_position.png",4,220,900)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0.0468166061</v>
      </c>
      <c r="G3350" t="n">
        <v>0.2067337440354558</v>
      </c>
      <c r="H3350" t="n">
        <v>0.0158941990317758</v>
      </c>
      <c r="I3350" t="n">
        <v>0.2062337380535804</v>
      </c>
      <c r="J3350" t="n">
        <v>0.0323189137399939</v>
      </c>
      <c r="K3350" t="n">
        <v>0.421038790362769</v>
      </c>
      <c r="L3350" t="b">
        <v>0</v>
      </c>
      <c r="M3350" t="b">
        <v>0</v>
      </c>
      <c r="N3350" t="inlineStr">
        <is>
          <t>alt</t>
        </is>
      </c>
      <c r="O3350" t="n">
        <v>50</v>
      </c>
      <c r="P3350" t="n">
        <v>0.0004578</v>
      </c>
      <c r="Q3350" t="n">
        <v>55</v>
      </c>
      <c r="R3350" t="n">
        <v>0.0166</v>
      </c>
      <c r="S3350">
        <f>IMAGE("https://mitra.stanford.edu/kundaje/oak/projects/neuro-variants/variant_position/credible/roussos_2024/variant_figures/roussos_2024.childhood.GLU/rs1848554_count_position.png",4,220,900)</f>
        <v/>
      </c>
      <c r="T3350">
        <f>IMAGE("https://mitra.stanford.edu/kundaje/oak/projects/neuro-variants/variant_position/credible/roussos_2024/variant_figures/roussos_2024.childhood.GLU/rs1848554_profile_position.png",4,220,900)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0.0393410622</v>
      </c>
      <c r="G3351" t="n">
        <v>0.2522268785289983</v>
      </c>
      <c r="H3351" t="n">
        <v>0.0236562444317516</v>
      </c>
      <c r="I3351" t="n">
        <v>0.0527176319459081</v>
      </c>
      <c r="J3351" t="n">
        <v>0.0451080181730144</v>
      </c>
      <c r="K3351" t="n">
        <v>0.3717568483114931</v>
      </c>
      <c r="L3351" t="b">
        <v>0</v>
      </c>
      <c r="M3351" t="b">
        <v>0</v>
      </c>
      <c r="N3351" t="inlineStr">
        <is>
          <t>alt</t>
        </is>
      </c>
      <c r="O3351" t="n">
        <v>-100</v>
      </c>
      <c r="P3351" t="n">
        <v>0.04318</v>
      </c>
      <c r="Q3351" t="n">
        <v>-100</v>
      </c>
      <c r="R3351" t="n">
        <v>0.4578</v>
      </c>
      <c r="S3351">
        <f>IMAGE("https://mitra.stanford.edu/kundaje/oak/projects/neuro-variants/variant_position/credible/roussos_2024/variant_figures/roussos_2024.childhood.GLU/rs32643_count_position.png",4,220,900)</f>
        <v/>
      </c>
      <c r="T3351">
        <f>IMAGE("https://mitra.stanford.edu/kundaje/oak/projects/neuro-variants/variant_position/credible/roussos_2024/variant_figures/roussos_2024.childhood.GLU/rs32643_profile_position.png",4,220,900)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0.126591622</v>
      </c>
      <c r="G3352" t="n">
        <v>0.0299348424191347</v>
      </c>
      <c r="H3352" t="n">
        <v>0.0419614724676705</v>
      </c>
      <c r="I3352" t="n">
        <v>0.0061563119740826</v>
      </c>
      <c r="J3352" t="n">
        <v>0.1380870944811315</v>
      </c>
      <c r="K3352" t="n">
        <v>0.2015456548881126</v>
      </c>
      <c r="L3352" t="b">
        <v>1</v>
      </c>
      <c r="M3352" t="b">
        <v>1</v>
      </c>
      <c r="N3352" t="inlineStr">
        <is>
          <t>alt</t>
        </is>
      </c>
      <c r="O3352" t="n">
        <v>-100</v>
      </c>
      <c r="P3352" t="n">
        <v>0.02788</v>
      </c>
      <c r="Q3352" t="n">
        <v>-100</v>
      </c>
      <c r="R3352" t="n">
        <v>0.1526</v>
      </c>
      <c r="S3352">
        <f>IMAGE("https://mitra.stanford.edu/kundaje/oak/projects/neuro-variants/variant_position/credible/roussos_2024/variant_figures/roussos_2024.childhood.GLU/rs11956061_count_position.png",4,220,900)</f>
        <v/>
      </c>
      <c r="T3352">
        <f>IMAGE("https://mitra.stanford.edu/kundaje/oak/projects/neuro-variants/variant_position/credible/roussos_2024/variant_figures/roussos_2024.childhood.GLU/rs11956061_profile_position.png",4,220,900)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-0.00425494124</v>
      </c>
      <c r="G3353" t="n">
        <v>0.7879273684572612</v>
      </c>
      <c r="H3353" t="n">
        <v>0.008040957873001599</v>
      </c>
      <c r="I3353" t="n">
        <v>0.8705371055381034</v>
      </c>
      <c r="J3353" t="n">
        <v>0.375012105040848</v>
      </c>
      <c r="K3353" t="n">
        <v>0.071640636909544</v>
      </c>
      <c r="L3353" t="b">
        <v>0</v>
      </c>
      <c r="M3353" t="b">
        <v>0</v>
      </c>
      <c r="N3353" t="inlineStr">
        <is>
          <t>ref</t>
        </is>
      </c>
      <c r="O3353" t="n">
        <v>100</v>
      </c>
      <c r="P3353" t="n">
        <v>0.009979999999999999</v>
      </c>
      <c r="Q3353" t="n">
        <v>-95</v>
      </c>
      <c r="R3353" t="n">
        <v>0.4211</v>
      </c>
      <c r="S3353">
        <f>IMAGE("https://mitra.stanford.edu/kundaje/oak/projects/neuro-variants/variant_position/credible/roussos_2024/variant_figures/roussos_2024.childhood.GLU/rs4836307_count_position.png",4,220,900)</f>
        <v/>
      </c>
      <c r="T3353">
        <f>IMAGE("https://mitra.stanford.edu/kundaje/oak/projects/neuro-variants/variant_position/credible/roussos_2024/variant_figures/roussos_2024.childhood.GLU/rs4836307_profile_position.png",4,220,900)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0.000240515528</v>
      </c>
      <c r="G3354" t="n">
        <v>0.8854495782777435</v>
      </c>
      <c r="H3354" t="n">
        <v>0.013706268734879</v>
      </c>
      <c r="I3354" t="n">
        <v>0.3205211877346057</v>
      </c>
      <c r="J3354" t="n">
        <v>0.0146424634530787</v>
      </c>
      <c r="K3354" t="n">
        <v>0.5322901306356465</v>
      </c>
      <c r="L3354" t="b">
        <v>0</v>
      </c>
      <c r="M3354" t="b">
        <v>0</v>
      </c>
      <c r="N3354" t="inlineStr">
        <is>
          <t>alt</t>
        </is>
      </c>
      <c r="O3354" t="n">
        <v>50</v>
      </c>
      <c r="P3354" t="n">
        <v>0.003471</v>
      </c>
      <c r="Q3354" t="n">
        <v>-55</v>
      </c>
      <c r="R3354" t="n">
        <v>0.06494</v>
      </c>
      <c r="S3354">
        <f>IMAGE("https://mitra.stanford.edu/kundaje/oak/projects/neuro-variants/variant_position/credible/roussos_2024/variant_figures/roussos_2024.childhood.GLU/rs12657369_count_position.png",4,220,900)</f>
        <v/>
      </c>
      <c r="T3354">
        <f>IMAGE("https://mitra.stanford.edu/kundaje/oak/projects/neuro-variants/variant_position/credible/roussos_2024/variant_figures/roussos_2024.childhood.GLU/rs12657369_profile_position.png",4,220,900)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-0.00289870454</v>
      </c>
      <c r="G3355" t="n">
        <v>0.797913746771633</v>
      </c>
      <c r="H3355" t="n">
        <v>0.0106837133413553</v>
      </c>
      <c r="I3355" t="n">
        <v>0.5854348655182254</v>
      </c>
      <c r="J3355" t="n">
        <v>0.3121998207423737</v>
      </c>
      <c r="K3355" t="n">
        <v>0.0927567923750852</v>
      </c>
      <c r="L3355" t="b">
        <v>0</v>
      </c>
      <c r="M3355" t="b">
        <v>0</v>
      </c>
      <c r="N3355" t="inlineStr">
        <is>
          <t>ref</t>
        </is>
      </c>
      <c r="O3355" t="n">
        <v>100</v>
      </c>
      <c r="P3355" t="n">
        <v>0.00531</v>
      </c>
      <c r="Q3355" t="n">
        <v>-95</v>
      </c>
      <c r="R3355" t="n">
        <v>0.07324</v>
      </c>
      <c r="S3355">
        <f>IMAGE("https://mitra.stanford.edu/kundaje/oak/projects/neuro-variants/variant_position/credible/roussos_2024/variant_figures/roussos_2024.childhood.GLU/rs10057084_count_position.png",4,220,900)</f>
        <v/>
      </c>
      <c r="T3355">
        <f>IMAGE("https://mitra.stanford.edu/kundaje/oak/projects/neuro-variants/variant_position/credible/roussos_2024/variant_figures/roussos_2024.childhood.GLU/rs10057084_profile_position.png",4,220,900)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-0.043925528</v>
      </c>
      <c r="G3356" t="n">
        <v>0.2194185475131841</v>
      </c>
      <c r="H3356" t="n">
        <v>0.0142039471037215</v>
      </c>
      <c r="I3356" t="n">
        <v>0.2917227423261823</v>
      </c>
      <c r="J3356" t="n">
        <v>0.09933757095614359</v>
      </c>
      <c r="K3356" t="n">
        <v>0.2516498801102758</v>
      </c>
      <c r="L3356" t="b">
        <v>0</v>
      </c>
      <c r="M3356" t="b">
        <v>0</v>
      </c>
      <c r="N3356" t="inlineStr">
        <is>
          <t>ref</t>
        </is>
      </c>
      <c r="O3356" t="n">
        <v>-100</v>
      </c>
      <c r="P3356" t="n">
        <v>0.0137</v>
      </c>
      <c r="Q3356" t="n">
        <v>90</v>
      </c>
      <c r="R3356" t="n">
        <v>0.1353</v>
      </c>
      <c r="S3356">
        <f>IMAGE("https://mitra.stanford.edu/kundaje/oak/projects/neuro-variants/variant_position/credible/roussos_2024/variant_figures/roussos_2024.childhood.GLU/rs9327428_count_position.png",4,220,900)</f>
        <v/>
      </c>
      <c r="T3356">
        <f>IMAGE("https://mitra.stanford.edu/kundaje/oak/projects/neuro-variants/variant_position/credible/roussos_2024/variant_figures/roussos_2024.childhood.GLU/rs9327428_profile_position.png",4,220,900)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-0.0417521428</v>
      </c>
      <c r="G3357" t="n">
        <v>0.2348898163826742</v>
      </c>
      <c r="H3357" t="n">
        <v>0.0403506657243271</v>
      </c>
      <c r="I3357" t="n">
        <v>0.0065002340666193</v>
      </c>
      <c r="J3357" t="n">
        <v>0.0230006078275829</v>
      </c>
      <c r="K3357" t="n">
        <v>0.467786863608869</v>
      </c>
      <c r="L3357" t="b">
        <v>1</v>
      </c>
      <c r="M3357" t="b">
        <v>0</v>
      </c>
      <c r="N3357" t="inlineStr">
        <is>
          <t>ref</t>
        </is>
      </c>
      <c r="O3357" t="n">
        <v>-85</v>
      </c>
      <c r="P3357" t="n">
        <v>0.00647</v>
      </c>
      <c r="Q3357" t="n">
        <v>-85</v>
      </c>
      <c r="R3357" t="n">
        <v>0.1923</v>
      </c>
      <c r="S3357">
        <f>IMAGE("https://mitra.stanford.edu/kundaje/oak/projects/neuro-variants/variant_position/credible/roussos_2024/variant_figures/roussos_2024.childhood.GLU/rs2108458_count_position.png",4,220,900)</f>
        <v/>
      </c>
      <c r="T3357">
        <f>IMAGE("https://mitra.stanford.edu/kundaje/oak/projects/neuro-variants/variant_position/credible/roussos_2024/variant_figures/roussos_2024.childhood.GLU/rs2108458_profile_position.png",4,220,900)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-0.07423882</v>
      </c>
      <c r="G3358" t="n">
        <v>0.0850532629726572</v>
      </c>
      <c r="H3358" t="n">
        <v>0.0145828347079076</v>
      </c>
      <c r="I3358" t="n">
        <v>0.2728302064008212</v>
      </c>
      <c r="J3358" t="n">
        <v>0.0417031534919178</v>
      </c>
      <c r="K3358" t="n">
        <v>0.3788677812121844</v>
      </c>
      <c r="L3358" t="b">
        <v>0</v>
      </c>
      <c r="M3358" t="b">
        <v>0</v>
      </c>
      <c r="N3358" t="inlineStr">
        <is>
          <t>ref</t>
        </is>
      </c>
      <c r="O3358" t="n">
        <v>-90</v>
      </c>
      <c r="P3358" t="n">
        <v>0.0307</v>
      </c>
      <c r="Q3358" t="n">
        <v>-90</v>
      </c>
      <c r="R3358" t="n">
        <v>0.1431</v>
      </c>
      <c r="S3358">
        <f>IMAGE("https://mitra.stanford.edu/kundaje/oak/projects/neuro-variants/variant_position/credible/roussos_2024/variant_figures/roussos_2024.childhood.GLU/rs7706333_count_position.png",4,220,900)</f>
        <v/>
      </c>
      <c r="T3358">
        <f>IMAGE("https://mitra.stanford.edu/kundaje/oak/projects/neuro-variants/variant_position/credible/roussos_2024/variant_figures/roussos_2024.childhood.GLU/rs7706333_profile_position.png",4,220,900)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-0.060560628</v>
      </c>
      <c r="G3359" t="n">
        <v>0.1287357400252064</v>
      </c>
      <c r="H3359" t="n">
        <v>0.0100257985780356</v>
      </c>
      <c r="I3359" t="n">
        <v>0.6621269282444481</v>
      </c>
      <c r="J3359" t="n">
        <v>0.0439964148474764</v>
      </c>
      <c r="K3359" t="n">
        <v>0.3659841176125266</v>
      </c>
      <c r="L3359" t="b">
        <v>0</v>
      </c>
      <c r="M3359" t="b">
        <v>0</v>
      </c>
      <c r="N3359" t="inlineStr">
        <is>
          <t>ref</t>
        </is>
      </c>
      <c r="O3359" t="n">
        <v>-20</v>
      </c>
      <c r="P3359" t="n">
        <v>0.004242</v>
      </c>
      <c r="Q3359" t="n">
        <v>-100</v>
      </c>
      <c r="R3359" t="n">
        <v>0.08019999999999999</v>
      </c>
      <c r="S3359">
        <f>IMAGE("https://mitra.stanford.edu/kundaje/oak/projects/neuro-variants/variant_position/credible/roussos_2024/variant_figures/roussos_2024.childhood.GLU/rs1013662_count_position.png",4,220,900)</f>
        <v/>
      </c>
      <c r="T3359">
        <f>IMAGE("https://mitra.stanford.edu/kundaje/oak/projects/neuro-variants/variant_position/credible/roussos_2024/variant_figures/roussos_2024.childhood.GLU/rs1013662_profile_position.png",4,220,900)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0.0571458423999999</v>
      </c>
      <c r="G3360" t="n">
        <v>0.146129595315571</v>
      </c>
      <c r="H3360" t="n">
        <v>0.015086283546933</v>
      </c>
      <c r="I3360" t="n">
        <v>0.2420650123070484</v>
      </c>
      <c r="J3360" t="n">
        <v>0.0111654836350149</v>
      </c>
      <c r="K3360" t="n">
        <v>0.5769701888604948</v>
      </c>
      <c r="L3360" t="b">
        <v>0</v>
      </c>
      <c r="M3360" t="b">
        <v>0</v>
      </c>
      <c r="N3360" t="inlineStr">
        <is>
          <t>alt</t>
        </is>
      </c>
      <c r="O3360" t="n">
        <v>100</v>
      </c>
      <c r="P3360" t="n">
        <v>0.007538</v>
      </c>
      <c r="Q3360" t="n">
        <v>100</v>
      </c>
      <c r="R3360" t="n">
        <v>0.1971</v>
      </c>
      <c r="S3360">
        <f>IMAGE("https://mitra.stanford.edu/kundaje/oak/projects/neuro-variants/variant_position/credible/roussos_2024/variant_figures/roussos_2024.childhood.GLU/rs6899133_count_position.png",4,220,900)</f>
        <v/>
      </c>
      <c r="T3360">
        <f>IMAGE("https://mitra.stanford.edu/kundaje/oak/projects/neuro-variants/variant_position/credible/roussos_2024/variant_figures/roussos_2024.childhood.GLU/rs6899133_profile_position.png",4,220,900)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-0.0767946662</v>
      </c>
      <c r="G3361" t="n">
        <v>0.0803471820151531</v>
      </c>
      <c r="H3361" t="n">
        <v>0.0213495388683811</v>
      </c>
      <c r="I3361" t="n">
        <v>0.0816705359302273</v>
      </c>
      <c r="J3361" t="n">
        <v>0.7747627927101898</v>
      </c>
      <c r="K3361" t="n">
        <v>0.008802663061836</v>
      </c>
      <c r="L3361" t="b">
        <v>0</v>
      </c>
      <c r="M3361" t="b">
        <v>0</v>
      </c>
      <c r="N3361" t="inlineStr">
        <is>
          <t>ref</t>
        </is>
      </c>
      <c r="O3361" t="n">
        <v>-60</v>
      </c>
      <c r="P3361" t="n">
        <v>0.007263</v>
      </c>
      <c r="Q3361" t="n">
        <v>-50</v>
      </c>
      <c r="R3361" t="n">
        <v>0.04785</v>
      </c>
      <c r="S3361">
        <f>IMAGE("https://mitra.stanford.edu/kundaje/oak/projects/neuro-variants/variant_position/credible/roussos_2024/variant_figures/roussos_2024.childhood.GLU/rs13154281_count_position.png",4,220,900)</f>
        <v/>
      </c>
      <c r="T3361">
        <f>IMAGE("https://mitra.stanford.edu/kundaje/oak/projects/neuro-variants/variant_position/credible/roussos_2024/variant_figures/roussos_2024.childhood.GLU/rs13154281_profile_position.png",4,220,900)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-0.349227442</v>
      </c>
      <c r="G3362" t="n">
        <v>0.0013233460171061</v>
      </c>
      <c r="H3362" t="n">
        <v>0.0554909746510148</v>
      </c>
      <c r="I3362" t="n">
        <v>0.0020646001491355</v>
      </c>
      <c r="J3362" t="n">
        <v>0.07968722634881061</v>
      </c>
      <c r="K3362" t="n">
        <v>0.2784559139744516</v>
      </c>
      <c r="L3362" t="b">
        <v>1</v>
      </c>
      <c r="M3362" t="b">
        <v>1</v>
      </c>
      <c r="N3362" t="inlineStr">
        <is>
          <t>ref</t>
        </is>
      </c>
      <c r="O3362" t="n">
        <v>5</v>
      </c>
      <c r="P3362" t="n">
        <v>0.0007935</v>
      </c>
      <c r="Q3362" t="n">
        <v>0</v>
      </c>
      <c r="R3362" t="n">
        <v>0</v>
      </c>
      <c r="S3362">
        <f>IMAGE("https://mitra.stanford.edu/kundaje/oak/projects/neuro-variants/variant_position/credible/roussos_2024/variant_figures/roussos_2024.childhood.GLU/rs2191209_count_position.png",4,220,900)</f>
        <v/>
      </c>
      <c r="T3362">
        <f>IMAGE("https://mitra.stanford.edu/kundaje/oak/projects/neuro-variants/variant_position/credible/roussos_2024/variant_figures/roussos_2024.childhood.GLU/rs2191209_profile_position.png",4,220,900)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-0.128232348</v>
      </c>
      <c r="G3363" t="n">
        <v>0.0265977677342964</v>
      </c>
      <c r="H3363" t="n">
        <v>0.0133148907458031</v>
      </c>
      <c r="I3363" t="n">
        <v>0.3511685164420016</v>
      </c>
      <c r="J3363" t="n">
        <v>0.0498902819701855</v>
      </c>
      <c r="K3363" t="n">
        <v>0.3519771304526469</v>
      </c>
      <c r="L3363" t="b">
        <v>0</v>
      </c>
      <c r="M3363" t="b">
        <v>0</v>
      </c>
      <c r="N3363" t="inlineStr">
        <is>
          <t>ref</t>
        </is>
      </c>
      <c r="O3363" t="n">
        <v>45</v>
      </c>
      <c r="P3363" t="n">
        <v>0.002504</v>
      </c>
      <c r="Q3363" t="n">
        <v>85</v>
      </c>
      <c r="R3363" t="n">
        <v>0.0842</v>
      </c>
      <c r="S3363">
        <f>IMAGE("https://mitra.stanford.edu/kundaje/oak/projects/neuro-variants/variant_position/credible/roussos_2024/variant_figures/roussos_2024.childhood.GLU/rs7731621_count_position.png",4,220,900)</f>
        <v/>
      </c>
      <c r="T3363">
        <f>IMAGE("https://mitra.stanford.edu/kundaje/oak/projects/neuro-variants/variant_position/credible/roussos_2024/variant_figures/roussos_2024.childhood.GLU/rs7731621_profile_position.png",4,220,900)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-0.0214937478</v>
      </c>
      <c r="G3364" t="n">
        <v>0.4489038600286347</v>
      </c>
      <c r="H3364" t="n">
        <v>0.0101364817139464</v>
      </c>
      <c r="I3364" t="n">
        <v>0.6444215771783993</v>
      </c>
      <c r="J3364" t="n">
        <v>0.0444651632377635</v>
      </c>
      <c r="K3364" t="n">
        <v>0.3674010159775744</v>
      </c>
      <c r="L3364" t="b">
        <v>0</v>
      </c>
      <c r="M3364" t="b">
        <v>0</v>
      </c>
      <c r="N3364" t="inlineStr">
        <is>
          <t>ref</t>
        </is>
      </c>
      <c r="O3364" t="n">
        <v>-70</v>
      </c>
      <c r="P3364" t="n">
        <v>0.0005417</v>
      </c>
      <c r="Q3364" t="n">
        <v>100</v>
      </c>
      <c r="R3364" t="n">
        <v>0.2103</v>
      </c>
      <c r="S3364">
        <f>IMAGE("https://mitra.stanford.edu/kundaje/oak/projects/neuro-variants/variant_position/credible/roussos_2024/variant_figures/roussos_2024.childhood.GLU/rs13190493_count_position.png",4,220,900)</f>
        <v/>
      </c>
      <c r="T3364">
        <f>IMAGE("https://mitra.stanford.edu/kundaje/oak/projects/neuro-variants/variant_position/credible/roussos_2024/variant_figures/roussos_2024.childhood.GLU/rs13190493_profile_position.png",4,220,900)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0.0256799663199999</v>
      </c>
      <c r="G3365" t="n">
        <v>0.3789400673639673</v>
      </c>
      <c r="H3365" t="n">
        <v>0.0125935792829459</v>
      </c>
      <c r="I3365" t="n">
        <v>0.4002384903869538</v>
      </c>
      <c r="J3365" t="n">
        <v>0.2873149474074608</v>
      </c>
      <c r="K3365" t="n">
        <v>0.1019074310841237</v>
      </c>
      <c r="L3365" t="b">
        <v>0</v>
      </c>
      <c r="M3365" t="b">
        <v>0</v>
      </c>
      <c r="N3365" t="inlineStr">
        <is>
          <t>alt</t>
        </is>
      </c>
      <c r="O3365" t="n">
        <v>-100</v>
      </c>
      <c r="P3365" t="n">
        <v>0.001194</v>
      </c>
      <c r="Q3365" t="n">
        <v>-100</v>
      </c>
      <c r="R3365" t="n">
        <v>0.11</v>
      </c>
      <c r="S3365">
        <f>IMAGE("https://mitra.stanford.edu/kundaje/oak/projects/neuro-variants/variant_position/credible/roussos_2024/variant_figures/roussos_2024.childhood.GLU/rs248081_count_position.png",4,220,900)</f>
        <v/>
      </c>
      <c r="T3365">
        <f>IMAGE("https://mitra.stanford.edu/kundaje/oak/projects/neuro-variants/variant_position/credible/roussos_2024/variant_figures/roussos_2024.childhood.GLU/rs248081_profile_position.png",4,220,900)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0.0510990069999999</v>
      </c>
      <c r="G3366" t="n">
        <v>0.1703699295224454</v>
      </c>
      <c r="H3366" t="n">
        <v>0.0116641934176145</v>
      </c>
      <c r="I3366" t="n">
        <v>0.4816577085189993</v>
      </c>
      <c r="J3366" t="n">
        <v>0.0042259470262807</v>
      </c>
      <c r="K3366" t="n">
        <v>0.7036350837983898</v>
      </c>
      <c r="L3366" t="b">
        <v>0</v>
      </c>
      <c r="M3366" t="b">
        <v>0</v>
      </c>
      <c r="N3366" t="inlineStr">
        <is>
          <t>alt</t>
        </is>
      </c>
      <c r="O3366" t="n">
        <v>-5</v>
      </c>
      <c r="P3366" t="n">
        <v>0.0004654</v>
      </c>
      <c r="Q3366" t="n">
        <v>100</v>
      </c>
      <c r="R3366" t="n">
        <v>0.1871</v>
      </c>
      <c r="S3366">
        <f>IMAGE("https://mitra.stanford.edu/kundaje/oak/projects/neuro-variants/variant_position/credible/roussos_2024/variant_figures/roussos_2024.childhood.GLU/rs248090_count_position.png",4,220,900)</f>
        <v/>
      </c>
      <c r="T3366">
        <f>IMAGE("https://mitra.stanford.edu/kundaje/oak/projects/neuro-variants/variant_position/credible/roussos_2024/variant_figures/roussos_2024.childhood.GLU/rs248090_profile_position.png",4,220,900)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0.141793163</v>
      </c>
      <c r="G3367" t="n">
        <v>0.0204644501353706</v>
      </c>
      <c r="H3367" t="n">
        <v>0.0192148140057224</v>
      </c>
      <c r="I3367" t="n">
        <v>0.1173349638845689</v>
      </c>
      <c r="J3367" t="n">
        <v>0.0215377007633901</v>
      </c>
      <c r="K3367" t="n">
        <v>0.542137915955909</v>
      </c>
      <c r="L3367" t="b">
        <v>0</v>
      </c>
      <c r="M3367" t="b">
        <v>0</v>
      </c>
      <c r="N3367" t="inlineStr">
        <is>
          <t>alt</t>
        </is>
      </c>
      <c r="O3367" t="n">
        <v>20</v>
      </c>
      <c r="P3367" t="n">
        <v>0.002724</v>
      </c>
      <c r="Q3367" t="n">
        <v>95</v>
      </c>
      <c r="R3367" t="n">
        <v>0.1376</v>
      </c>
      <c r="S3367">
        <f>IMAGE("https://mitra.stanford.edu/kundaje/oak/projects/neuro-variants/variant_position/credible/roussos_2024/variant_figures/roussos_2024.childhood.GLU/rs248104_count_position.png",4,220,900)</f>
        <v/>
      </c>
      <c r="T3367">
        <f>IMAGE("https://mitra.stanford.edu/kundaje/oak/projects/neuro-variants/variant_position/credible/roussos_2024/variant_figures/roussos_2024.childhood.GLU/rs248104_profile_position.png",4,220,900)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-0.0574311786</v>
      </c>
      <c r="G3368" t="n">
        <v>0.1432048485288656</v>
      </c>
      <c r="H3368" t="n">
        <v>0.0108790198105905</v>
      </c>
      <c r="I3368" t="n">
        <v>0.5614838518253759</v>
      </c>
      <c r="J3368" t="n">
        <v>0.0988543995384631</v>
      </c>
      <c r="K3368" t="n">
        <v>0.2507707555216281</v>
      </c>
      <c r="L3368" t="b">
        <v>0</v>
      </c>
      <c r="M3368" t="b">
        <v>0</v>
      </c>
      <c r="N3368" t="inlineStr">
        <is>
          <t>ref</t>
        </is>
      </c>
      <c r="O3368" t="n">
        <v>90</v>
      </c>
      <c r="P3368" t="n">
        <v>0.0177</v>
      </c>
      <c r="Q3368" t="n">
        <v>-15</v>
      </c>
      <c r="R3368" t="n">
        <v>0.0443</v>
      </c>
      <c r="S3368">
        <f>IMAGE("https://mitra.stanford.edu/kundaje/oak/projects/neuro-variants/variant_position/credible/roussos_2024/variant_figures/roussos_2024.childhood.GLU/rs248115_count_position.png",4,220,900)</f>
        <v/>
      </c>
      <c r="T3368">
        <f>IMAGE("https://mitra.stanford.edu/kundaje/oak/projects/neuro-variants/variant_position/credible/roussos_2024/variant_figures/roussos_2024.childhood.GLU/rs248115_profile_position.png",4,220,900)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-0.0191421997</v>
      </c>
      <c r="G3369" t="n">
        <v>0.5230716914686483</v>
      </c>
      <c r="H3369" t="n">
        <v>0.0375271719187356</v>
      </c>
      <c r="I3369" t="n">
        <v>0.008508891126589599</v>
      </c>
      <c r="J3369" t="n">
        <v>0.0879310167204095</v>
      </c>
      <c r="K3369" t="n">
        <v>0.2654791537938547</v>
      </c>
      <c r="L3369" t="b">
        <v>1</v>
      </c>
      <c r="M3369" t="b">
        <v>1</v>
      </c>
      <c r="N3369" t="inlineStr">
        <is>
          <t>ref</t>
        </is>
      </c>
      <c r="O3369" t="n">
        <v>-100</v>
      </c>
      <c r="P3369" t="n">
        <v>0.0122</v>
      </c>
      <c r="Q3369" t="n">
        <v>-100</v>
      </c>
      <c r="R3369" t="n">
        <v>0.02942</v>
      </c>
      <c r="S3369">
        <f>IMAGE("https://mitra.stanford.edu/kundaje/oak/projects/neuro-variants/variant_position/credible/roussos_2024/variant_figures/roussos_2024.childhood.GLU/rs248116_count_position.png",4,220,900)</f>
        <v/>
      </c>
      <c r="T3369">
        <f>IMAGE("https://mitra.stanford.edu/kundaje/oak/projects/neuro-variants/variant_position/credible/roussos_2024/variant_figures/roussos_2024.childhood.GLU/rs248116_profile_position.png",4,220,900)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-0.0029379704</v>
      </c>
      <c r="G3370" t="n">
        <v>0.7831197548813157</v>
      </c>
      <c r="H3370" t="n">
        <v>0.008420457837856801</v>
      </c>
      <c r="I3370" t="n">
        <v>0.8292455219887326</v>
      </c>
      <c r="J3370" t="n">
        <v>0.080948211029495</v>
      </c>
      <c r="K3370" t="n">
        <v>0.2770187102305405</v>
      </c>
      <c r="L3370" t="b">
        <v>0</v>
      </c>
      <c r="M3370" t="b">
        <v>0</v>
      </c>
      <c r="N3370" t="inlineStr">
        <is>
          <t>ref</t>
        </is>
      </c>
      <c r="O3370" t="n">
        <v>100</v>
      </c>
      <c r="P3370" t="n">
        <v>0.02197</v>
      </c>
      <c r="Q3370" t="n">
        <v>-100</v>
      </c>
      <c r="R3370" t="n">
        <v>0.2401</v>
      </c>
      <c r="S3370">
        <f>IMAGE("https://mitra.stanford.edu/kundaje/oak/projects/neuro-variants/variant_position/credible/roussos_2024/variant_figures/roussos_2024.childhood.GLU/rs248117_count_position.png",4,220,900)</f>
        <v/>
      </c>
      <c r="T3370">
        <f>IMAGE("https://mitra.stanford.edu/kundaje/oak/projects/neuro-variants/variant_position/credible/roussos_2024/variant_figures/roussos_2024.childhood.GLU/rs248117_profile_position.png",4,220,900)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-0.0806940974</v>
      </c>
      <c r="G3371" t="n">
        <v>0.0773418063021554</v>
      </c>
      <c r="H3371" t="n">
        <v>0.0161063358785906</v>
      </c>
      <c r="I3371" t="n">
        <v>0.2025818441819669</v>
      </c>
      <c r="J3371" t="n">
        <v>0.1116167183491814</v>
      </c>
      <c r="K3371" t="n">
        <v>0.2284939167161345</v>
      </c>
      <c r="L3371" t="b">
        <v>0</v>
      </c>
      <c r="M3371" t="b">
        <v>0</v>
      </c>
      <c r="N3371" t="inlineStr">
        <is>
          <t>ref</t>
        </is>
      </c>
      <c r="O3371" t="n">
        <v>55</v>
      </c>
      <c r="P3371" t="n">
        <v>0.00638</v>
      </c>
      <c r="Q3371" t="n">
        <v>50</v>
      </c>
      <c r="R3371" t="n">
        <v>0.0762</v>
      </c>
      <c r="S3371">
        <f>IMAGE("https://mitra.stanford.edu/kundaje/oak/projects/neuro-variants/variant_position/credible/roussos_2024/variant_figures/roussos_2024.childhood.GLU/rs1860439_count_position.png",4,220,900)</f>
        <v/>
      </c>
      <c r="T3371">
        <f>IMAGE("https://mitra.stanford.edu/kundaje/oak/projects/neuro-variants/variant_position/credible/roussos_2024/variant_figures/roussos_2024.childhood.GLU/rs1860439_profile_position.png",4,220,900)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0.350624456</v>
      </c>
      <c r="G3372" t="n">
        <v>0.001274907534894</v>
      </c>
      <c r="H3372" t="n">
        <v>0.0326510131561453</v>
      </c>
      <c r="I3372" t="n">
        <v>0.0201494084497723</v>
      </c>
      <c r="J3372" t="n">
        <v>0.1339013258883039</v>
      </c>
      <c r="K3372" t="n">
        <v>0.2035716462800305</v>
      </c>
      <c r="L3372" t="b">
        <v>1</v>
      </c>
      <c r="M3372" t="b">
        <v>1</v>
      </c>
      <c r="N3372" t="inlineStr">
        <is>
          <t>alt</t>
        </is>
      </c>
      <c r="O3372" t="n">
        <v>25</v>
      </c>
      <c r="P3372" t="n">
        <v>0.00473</v>
      </c>
      <c r="Q3372" t="n">
        <v>-90</v>
      </c>
      <c r="R3372" t="n">
        <v>0.1179</v>
      </c>
      <c r="S3372">
        <f>IMAGE("https://mitra.stanford.edu/kundaje/oak/projects/neuro-variants/variant_position/credible/roussos_2024/variant_figures/roussos_2024.childhood.GLU/rs173555_count_position.png",4,220,900)</f>
        <v/>
      </c>
      <c r="T3372">
        <f>IMAGE("https://mitra.stanford.edu/kundaje/oak/projects/neuro-variants/variant_position/credible/roussos_2024/variant_figures/roussos_2024.childhood.GLU/rs173555_profile_position.png",4,220,900)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0.122665147</v>
      </c>
      <c r="G3373" t="n">
        <v>0.0271977758898722</v>
      </c>
      <c r="H3373" t="n">
        <v>0.0248912325339413</v>
      </c>
      <c r="I3373" t="n">
        <v>0.0466927513085717</v>
      </c>
      <c r="J3373" t="n">
        <v>0.0131156829818578</v>
      </c>
      <c r="K3373" t="n">
        <v>0.5633701478535446</v>
      </c>
      <c r="L3373" t="b">
        <v>0</v>
      </c>
      <c r="M3373" t="b">
        <v>0</v>
      </c>
      <c r="N3373" t="inlineStr">
        <is>
          <t>alt</t>
        </is>
      </c>
      <c r="O3373" t="n">
        <v>-90</v>
      </c>
      <c r="P3373" t="n">
        <v>0.01993</v>
      </c>
      <c r="Q3373" t="n">
        <v>15</v>
      </c>
      <c r="R3373" t="n">
        <v>0.0398</v>
      </c>
      <c r="S3373">
        <f>IMAGE("https://mitra.stanford.edu/kundaje/oak/projects/neuro-variants/variant_position/credible/roussos_2024/variant_figures/roussos_2024.childhood.GLU/rs248127_count_position.png",4,220,900)</f>
        <v/>
      </c>
      <c r="T3373">
        <f>IMAGE("https://mitra.stanford.edu/kundaje/oak/projects/neuro-variants/variant_position/credible/roussos_2024/variant_figures/roussos_2024.childhood.GLU/rs248127_profile_position.png",4,220,900)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0.1332193558</v>
      </c>
      <c r="G3374" t="n">
        <v>0.0248600969425402</v>
      </c>
      <c r="H3374" t="n">
        <v>0.0248083733937919</v>
      </c>
      <c r="I3374" t="n">
        <v>0.0457854466416174</v>
      </c>
      <c r="J3374" t="n">
        <v>0.0582607889395983</v>
      </c>
      <c r="K3374" t="n">
        <v>0.32993733126904</v>
      </c>
      <c r="L3374" t="b">
        <v>0</v>
      </c>
      <c r="M3374" t="b">
        <v>0</v>
      </c>
      <c r="N3374" t="inlineStr">
        <is>
          <t>alt</t>
        </is>
      </c>
      <c r="O3374" t="n">
        <v>100</v>
      </c>
      <c r="P3374" t="n">
        <v>0.01917</v>
      </c>
      <c r="Q3374" t="n">
        <v>100</v>
      </c>
      <c r="R3374" t="n">
        <v>0.07543999999999999</v>
      </c>
      <c r="S3374">
        <f>IMAGE("https://mitra.stanford.edu/kundaje/oak/projects/neuro-variants/variant_position/credible/roussos_2024/variant_figures/roussos_2024.childhood.GLU/rs188731_count_position.png",4,220,900)</f>
        <v/>
      </c>
      <c r="T3374">
        <f>IMAGE("https://mitra.stanford.edu/kundaje/oak/projects/neuro-variants/variant_position/credible/roussos_2024/variant_figures/roussos_2024.childhood.GLU/rs188731_profile_position.png",4,220,900)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0.00641669918</v>
      </c>
      <c r="G3375" t="n">
        <v>0.6948709349486504</v>
      </c>
      <c r="H3375" t="n">
        <v>0.0127126989562203</v>
      </c>
      <c r="I3375" t="n">
        <v>0.383541469269864</v>
      </c>
      <c r="J3375" t="n">
        <v>0.0196091359576374</v>
      </c>
      <c r="K3375" t="n">
        <v>0.4892724627174538</v>
      </c>
      <c r="L3375" t="b">
        <v>0</v>
      </c>
      <c r="M3375" t="b">
        <v>0</v>
      </c>
      <c r="N3375" t="inlineStr">
        <is>
          <t>alt</t>
        </is>
      </c>
      <c r="O3375" t="n">
        <v>95</v>
      </c>
      <c r="P3375" t="n">
        <v>0.0007324</v>
      </c>
      <c r="Q3375" t="n">
        <v>45</v>
      </c>
      <c r="R3375" t="n">
        <v>0.03345</v>
      </c>
      <c r="S3375">
        <f>IMAGE("https://mitra.stanford.edu/kundaje/oak/projects/neuro-variants/variant_position/credible/roussos_2024/variant_figures/roussos_2024.childhood.GLU/rs187653_count_position.png",4,220,900)</f>
        <v/>
      </c>
      <c r="T3375">
        <f>IMAGE("https://mitra.stanford.edu/kundaje/oak/projects/neuro-variants/variant_position/credible/roussos_2024/variant_figures/roussos_2024.childhood.GLU/rs187653_profile_position.png",4,220,900)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0.110360922</v>
      </c>
      <c r="G3376" t="n">
        <v>0.0443968061937097</v>
      </c>
      <c r="H3376" t="n">
        <v>0.0147226920950782</v>
      </c>
      <c r="I3376" t="n">
        <v>0.2644513874829068</v>
      </c>
      <c r="J3376" t="n">
        <v>0.2381313937795543</v>
      </c>
      <c r="K3376" t="n">
        <v>0.1267559545123714</v>
      </c>
      <c r="L3376" t="b">
        <v>0</v>
      </c>
      <c r="M3376" t="b">
        <v>0</v>
      </c>
      <c r="N3376" t="inlineStr">
        <is>
          <t>alt</t>
        </is>
      </c>
      <c r="O3376" t="n">
        <v>-95</v>
      </c>
      <c r="P3376" t="n">
        <v>0.0045</v>
      </c>
      <c r="Q3376" t="n">
        <v>100</v>
      </c>
      <c r="R3376" t="n">
        <v>0.03308</v>
      </c>
      <c r="S3376">
        <f>IMAGE("https://mitra.stanford.edu/kundaje/oak/projects/neuro-variants/variant_position/credible/roussos_2024/variant_figures/roussos_2024.childhood.GLU/rs6421150_count_position.png",4,220,900)</f>
        <v/>
      </c>
      <c r="T3376">
        <f>IMAGE("https://mitra.stanford.edu/kundaje/oak/projects/neuro-variants/variant_position/credible/roussos_2024/variant_figures/roussos_2024.childhood.GLU/rs6421150_profile_position.png",4,220,900)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0.0110967800799999</v>
      </c>
      <c r="G3377" t="n">
        <v>0.6189220686956503</v>
      </c>
      <c r="H3377" t="n">
        <v>0.0111076678040457</v>
      </c>
      <c r="I3377" t="n">
        <v>0.5402869121531706</v>
      </c>
      <c r="J3377" t="n">
        <v>0.107428889323869</v>
      </c>
      <c r="K3377" t="n">
        <v>0.2348650341249015</v>
      </c>
      <c r="L3377" t="b">
        <v>0</v>
      </c>
      <c r="M3377" t="b">
        <v>0</v>
      </c>
      <c r="N3377" t="inlineStr">
        <is>
          <t>alt</t>
        </is>
      </c>
      <c r="O3377" t="n">
        <v>5</v>
      </c>
      <c r="P3377" t="n">
        <v>0.004364</v>
      </c>
      <c r="Q3377" t="n">
        <v>-35</v>
      </c>
      <c r="R3377" t="n">
        <v>0.02808</v>
      </c>
      <c r="S3377">
        <f>IMAGE("https://mitra.stanford.edu/kundaje/oak/projects/neuro-variants/variant_position/credible/roussos_2024/variant_figures/roussos_2024.childhood.GLU/rs355163_count_position.png",4,220,900)</f>
        <v/>
      </c>
      <c r="T3377">
        <f>IMAGE("https://mitra.stanford.edu/kundaje/oak/projects/neuro-variants/variant_position/credible/roussos_2024/variant_figures/roussos_2024.childhood.GLU/rs355163_profile_position.png",4,220,900)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0.01836823902</v>
      </c>
      <c r="G3378" t="n">
        <v>0.4738981972889414</v>
      </c>
      <c r="H3378" t="n">
        <v>0.0157030345408679</v>
      </c>
      <c r="I3378" t="n">
        <v>0.2178432821810703</v>
      </c>
      <c r="J3378" t="n">
        <v>0.1851174961624445</v>
      </c>
      <c r="K3378" t="n">
        <v>0.1591425357712538</v>
      </c>
      <c r="L3378" t="b">
        <v>0</v>
      </c>
      <c r="M3378" t="b">
        <v>0</v>
      </c>
      <c r="N3378" t="inlineStr">
        <is>
          <t>alt</t>
        </is>
      </c>
      <c r="O3378" t="n">
        <v>-40</v>
      </c>
      <c r="P3378" t="n">
        <v>0.0005817</v>
      </c>
      <c r="Q3378" t="n">
        <v>-95</v>
      </c>
      <c r="R3378" t="n">
        <v>0.05865</v>
      </c>
      <c r="S3378">
        <f>IMAGE("https://mitra.stanford.edu/kundaje/oak/projects/neuro-variants/variant_position/credible/roussos_2024/variant_figures/roussos_2024.childhood.GLU/rs9687282_count_position.png",4,220,900)</f>
        <v/>
      </c>
      <c r="T3378">
        <f>IMAGE("https://mitra.stanford.edu/kundaje/oak/projects/neuro-variants/variant_position/credible/roussos_2024/variant_figures/roussos_2024.childhood.GLU/rs9687282_profile_position.png",4,220,900)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-0.08895088080000001</v>
      </c>
      <c r="G3379" t="n">
        <v>0.08787693694388581</v>
      </c>
      <c r="H3379" t="n">
        <v>0.0174563542706495</v>
      </c>
      <c r="I3379" t="n">
        <v>0.1722474812394849</v>
      </c>
      <c r="J3379" t="n">
        <v>0.1506959110717339</v>
      </c>
      <c r="K3379" t="n">
        <v>0.1889748031814351</v>
      </c>
      <c r="L3379" t="b">
        <v>0</v>
      </c>
      <c r="M3379" t="b">
        <v>0</v>
      </c>
      <c r="N3379" t="inlineStr">
        <is>
          <t>ref</t>
        </is>
      </c>
      <c r="O3379" t="n">
        <v>95</v>
      </c>
      <c r="P3379" t="n">
        <v>0.00925</v>
      </c>
      <c r="Q3379" t="n">
        <v>-95</v>
      </c>
      <c r="R3379" t="n">
        <v>0.1686</v>
      </c>
      <c r="S3379">
        <f>IMAGE("https://mitra.stanford.edu/kundaje/oak/projects/neuro-variants/variant_position/credible/roussos_2024/variant_figures/roussos_2024.childhood.GLU/rs4912894_count_position.png",4,220,900)</f>
        <v/>
      </c>
      <c r="T3379">
        <f>IMAGE("https://mitra.stanford.edu/kundaje/oak/projects/neuro-variants/variant_position/credible/roussos_2024/variant_figures/roussos_2024.childhood.GLU/rs4912894_profile_position.png",4,220,900)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-0.1614208589999999</v>
      </c>
      <c r="G3380" t="n">
        <v>0.0145035606558725</v>
      </c>
      <c r="H3380" t="n">
        <v>0.037793359441503</v>
      </c>
      <c r="I3380" t="n">
        <v>0.009030063781559201</v>
      </c>
      <c r="J3380" t="n">
        <v>0.144423954588068</v>
      </c>
      <c r="K3380" t="n">
        <v>0.1916436876512769</v>
      </c>
      <c r="L3380" t="b">
        <v>1</v>
      </c>
      <c r="M3380" t="b">
        <v>1</v>
      </c>
      <c r="N3380" t="inlineStr">
        <is>
          <t>ref</t>
        </is>
      </c>
      <c r="O3380" t="n">
        <v>95</v>
      </c>
      <c r="P3380" t="n">
        <v>0.003792</v>
      </c>
      <c r="Q3380" t="n">
        <v>40</v>
      </c>
      <c r="R3380" t="n">
        <v>0.1272</v>
      </c>
      <c r="S3380">
        <f>IMAGE("https://mitra.stanford.edu/kundaje/oak/projects/neuro-variants/variant_position/credible/roussos_2024/variant_figures/roussos_2024.childhood.GLU/rs2073512_count_position.png",4,220,900)</f>
        <v/>
      </c>
      <c r="T3380">
        <f>IMAGE("https://mitra.stanford.edu/kundaje/oak/projects/neuro-variants/variant_position/credible/roussos_2024/variant_figures/roussos_2024.childhood.GLU/rs2073512_profile_position.png",4,220,900)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0.0016095091</v>
      </c>
      <c r="G3381" t="n">
        <v>0.7914201720769262</v>
      </c>
      <c r="H3381" t="n">
        <v>0.0170476243792976</v>
      </c>
      <c r="I3381" t="n">
        <v>0.1657490155448246</v>
      </c>
      <c r="J3381" t="n">
        <v>0.0077946160899172</v>
      </c>
      <c r="K3381" t="n">
        <v>0.6274800258943241</v>
      </c>
      <c r="L3381" t="b">
        <v>0</v>
      </c>
      <c r="M3381" t="b">
        <v>0</v>
      </c>
      <c r="N3381" t="inlineStr">
        <is>
          <t>alt</t>
        </is>
      </c>
      <c r="O3381" t="n">
        <v>20</v>
      </c>
      <c r="P3381" t="n">
        <v>0.001099</v>
      </c>
      <c r="Q3381" t="n">
        <v>-100</v>
      </c>
      <c r="R3381" t="n">
        <v>0.056</v>
      </c>
      <c r="S3381">
        <f>IMAGE("https://mitra.stanford.edu/kundaje/oak/projects/neuro-variants/variant_position/credible/roussos_2024/variant_figures/roussos_2024.childhood.GLU/rs12186884_count_position.png",4,220,900)</f>
        <v/>
      </c>
      <c r="T3381">
        <f>IMAGE("https://mitra.stanford.edu/kundaje/oak/projects/neuro-variants/variant_position/credible/roussos_2024/variant_figures/roussos_2024.childhood.GLU/rs12186884_profile_position.png",4,220,900)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0.0279770146</v>
      </c>
      <c r="G3382" t="n">
        <v>0.3495246806299872</v>
      </c>
      <c r="H3382" t="n">
        <v>0.0223725255940882</v>
      </c>
      <c r="I3382" t="n">
        <v>0.0672001964599314</v>
      </c>
      <c r="J3382" t="n">
        <v>0.06776247334315461</v>
      </c>
      <c r="K3382" t="n">
        <v>0.3151337387273736</v>
      </c>
      <c r="L3382" t="b">
        <v>0</v>
      </c>
      <c r="M3382" t="b">
        <v>0</v>
      </c>
      <c r="N3382" t="inlineStr">
        <is>
          <t>alt</t>
        </is>
      </c>
      <c r="O3382" t="n">
        <v>60</v>
      </c>
      <c r="P3382" t="n">
        <v>0.01101</v>
      </c>
      <c r="Q3382" t="n">
        <v>90</v>
      </c>
      <c r="R3382" t="n">
        <v>0.2153</v>
      </c>
      <c r="S3382">
        <f>IMAGE("https://mitra.stanford.edu/kundaje/oak/projects/neuro-variants/variant_position/credible/roussos_2024/variant_figures/roussos_2024.childhood.GLU/rs801174_count_position.png",4,220,900)</f>
        <v/>
      </c>
      <c r="T3382">
        <f>IMAGE("https://mitra.stanford.edu/kundaje/oak/projects/neuro-variants/variant_position/credible/roussos_2024/variant_figures/roussos_2024.childhood.GLU/rs801174_profile_position.png",4,220,900)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0.1013755014</v>
      </c>
      <c r="G3383" t="n">
        <v>0.0479107580207752</v>
      </c>
      <c r="H3383" t="n">
        <v>0.0432026472010628</v>
      </c>
      <c r="I3383" t="n">
        <v>0.0051498271311908</v>
      </c>
      <c r="J3383" t="n">
        <v>0.0103969423181925</v>
      </c>
      <c r="K3383" t="n">
        <v>0.5939590924521861</v>
      </c>
      <c r="L3383" t="b">
        <v>1</v>
      </c>
      <c r="M3383" t="b">
        <v>0</v>
      </c>
      <c r="N3383" t="inlineStr">
        <is>
          <t>alt</t>
        </is>
      </c>
      <c r="O3383" t="n">
        <v>-25</v>
      </c>
      <c r="P3383" t="n">
        <v>0.0011635</v>
      </c>
      <c r="Q3383" t="n">
        <v>-45</v>
      </c>
      <c r="R3383" t="n">
        <v>0.04102</v>
      </c>
      <c r="S3383">
        <f>IMAGE("https://mitra.stanford.edu/kundaje/oak/projects/neuro-variants/variant_position/credible/roussos_2024/variant_figures/roussos_2024.childhood.GLU/rs12659129_count_position.png",4,220,900)</f>
        <v/>
      </c>
      <c r="T3383">
        <f>IMAGE("https://mitra.stanford.edu/kundaje/oak/projects/neuro-variants/variant_position/credible/roussos_2024/variant_figures/roussos_2024.childhood.GLU/rs12659129_profile_position.png",4,220,900)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0.09847596679999999</v>
      </c>
      <c r="G3384" t="n">
        <v>0.044792315415706</v>
      </c>
      <c r="H3384" t="n">
        <v>0.0178650811643643</v>
      </c>
      <c r="I3384" t="n">
        <v>0.1417633746090064</v>
      </c>
      <c r="J3384" t="n">
        <v>0.3283051912596454</v>
      </c>
      <c r="K3384" t="n">
        <v>0.0865807075628859</v>
      </c>
      <c r="L3384" t="b">
        <v>0</v>
      </c>
      <c r="M3384" t="b">
        <v>0</v>
      </c>
      <c r="N3384" t="inlineStr">
        <is>
          <t>alt</t>
        </is>
      </c>
      <c r="O3384" t="n">
        <v>-70</v>
      </c>
      <c r="P3384" t="n">
        <v>0.00716</v>
      </c>
      <c r="Q3384" t="n">
        <v>-60</v>
      </c>
      <c r="R3384" t="n">
        <v>0.1267</v>
      </c>
      <c r="S3384">
        <f>IMAGE("https://mitra.stanford.edu/kundaje/oak/projects/neuro-variants/variant_position/credible/roussos_2024/variant_figures/roussos_2024.childhood.GLU/rs7710380_count_position.png",4,220,900)</f>
        <v/>
      </c>
      <c r="T3384">
        <f>IMAGE("https://mitra.stanford.edu/kundaje/oak/projects/neuro-variants/variant_position/credible/roussos_2024/variant_figures/roussos_2024.childhood.GLU/rs7710380_profile_position.png",4,220,900)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-0.0012439164</v>
      </c>
      <c r="G3385" t="n">
        <v>0.1812687194868881</v>
      </c>
      <c r="H3385" t="n">
        <v>0.0221828616995314</v>
      </c>
      <c r="I3385" t="n">
        <v>0.0734177555274334</v>
      </c>
      <c r="J3385" t="n">
        <v>0.0053643359741209</v>
      </c>
      <c r="K3385" t="n">
        <v>0.6664018000249174</v>
      </c>
      <c r="L3385" t="b">
        <v>0</v>
      </c>
      <c r="M3385" t="b">
        <v>0</v>
      </c>
      <c r="N3385" t="inlineStr">
        <is>
          <t>ref</t>
        </is>
      </c>
      <c r="O3385" t="n">
        <v>-55</v>
      </c>
      <c r="P3385" t="n">
        <v>0.004425</v>
      </c>
      <c r="Q3385" t="n">
        <v>-95</v>
      </c>
      <c r="R3385" t="n">
        <v>0.07854999999999999</v>
      </c>
      <c r="S3385">
        <f>IMAGE("https://mitra.stanford.edu/kundaje/oak/projects/neuro-variants/variant_position/credible/roussos_2024/variant_figures/roussos_2024.childhood.GLU/rs1548699_count_position.png",4,220,900)</f>
        <v/>
      </c>
      <c r="T3385">
        <f>IMAGE("https://mitra.stanford.edu/kundaje/oak/projects/neuro-variants/variant_position/credible/roussos_2024/variant_figures/roussos_2024.childhood.GLU/rs1548699_profile_position.png",4,220,900)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-0.083514572</v>
      </c>
      <c r="G3386" t="n">
        <v>0.0721293477416563</v>
      </c>
      <c r="H3386" t="n">
        <v>0.0256339332290609</v>
      </c>
      <c r="I3386" t="n">
        <v>0.0411809494274853</v>
      </c>
      <c r="J3386" t="n">
        <v>0.0258203096830024</v>
      </c>
      <c r="K3386" t="n">
        <v>0.4509294636375098</v>
      </c>
      <c r="L3386" t="b">
        <v>0</v>
      </c>
      <c r="M3386" t="b">
        <v>0</v>
      </c>
      <c r="N3386" t="inlineStr">
        <is>
          <t>ref</t>
        </is>
      </c>
      <c r="O3386" t="n">
        <v>95</v>
      </c>
      <c r="P3386" t="n">
        <v>0.02809</v>
      </c>
      <c r="Q3386" t="n">
        <v>80</v>
      </c>
      <c r="R3386" t="n">
        <v>0.1384</v>
      </c>
      <c r="S3386">
        <f>IMAGE("https://mitra.stanford.edu/kundaje/oak/projects/neuro-variants/variant_position/credible/roussos_2024/variant_figures/roussos_2024.childhood.GLU/rs13184940_count_position.png",4,220,900)</f>
        <v/>
      </c>
      <c r="T3386">
        <f>IMAGE("https://mitra.stanford.edu/kundaje/oak/projects/neuro-variants/variant_position/credible/roussos_2024/variant_figures/roussos_2024.childhood.GLU/rs13184940_profile_position.png",4,220,900)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0.0325917212</v>
      </c>
      <c r="G3387" t="n">
        <v>0.3040535918266406</v>
      </c>
      <c r="H3387" t="n">
        <v>0.019067539145845</v>
      </c>
      <c r="I3387" t="n">
        <v>0.1167896862906714</v>
      </c>
      <c r="J3387" t="n">
        <v>0.4819475207846126</v>
      </c>
      <c r="K3387" t="n">
        <v>0.0455627326769885</v>
      </c>
      <c r="L3387" t="b">
        <v>0</v>
      </c>
      <c r="M3387" t="b">
        <v>0</v>
      </c>
      <c r="N3387" t="inlineStr">
        <is>
          <t>alt</t>
        </is>
      </c>
      <c r="O3387" t="n">
        <v>40</v>
      </c>
      <c r="P3387" t="n">
        <v>0.00641</v>
      </c>
      <c r="Q3387" t="n">
        <v>40</v>
      </c>
      <c r="R3387" t="n">
        <v>0.06006</v>
      </c>
      <c r="S3387">
        <f>IMAGE("https://mitra.stanford.edu/kundaje/oak/projects/neuro-variants/variant_position/credible/roussos_2024/variant_figures/roussos_2024.childhood.GLU/rs3756338_count_position.png",4,220,900)</f>
        <v/>
      </c>
      <c r="T3387">
        <f>IMAGE("https://mitra.stanford.edu/kundaje/oak/projects/neuro-variants/variant_position/credible/roussos_2024/variant_figures/roussos_2024.childhood.GLU/rs3756338_profile_position.png",4,220,900)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0.001764776296</v>
      </c>
      <c r="G3388" t="n">
        <v>0.7081587746852315</v>
      </c>
      <c r="H3388" t="n">
        <v>0.0240024405815948</v>
      </c>
      <c r="I3388" t="n">
        <v>0.0501147202363106</v>
      </c>
      <c r="J3388" t="n">
        <v>0.6072537525626629</v>
      </c>
      <c r="K3388" t="n">
        <v>0.025259743935729</v>
      </c>
      <c r="L3388" t="b">
        <v>0</v>
      </c>
      <c r="M3388" t="b">
        <v>0</v>
      </c>
      <c r="N3388" t="inlineStr">
        <is>
          <t>alt</t>
        </is>
      </c>
      <c r="O3388" t="n">
        <v>-100</v>
      </c>
      <c r="P3388" t="n">
        <v>0.05603</v>
      </c>
      <c r="Q3388" t="n">
        <v>-25</v>
      </c>
      <c r="R3388" t="n">
        <v>0.512</v>
      </c>
      <c r="S3388">
        <f>IMAGE("https://mitra.stanford.edu/kundaje/oak/projects/neuro-variants/variant_position/credible/roussos_2024/variant_figures/roussos_2024.childhood.GLU/rs3806845_count_position.png",4,220,900)</f>
        <v/>
      </c>
      <c r="T3388">
        <f>IMAGE("https://mitra.stanford.edu/kundaje/oak/projects/neuro-variants/variant_position/credible/roussos_2024/variant_figures/roussos_2024.childhood.GLU/rs3806845_profile_position.png",4,220,900)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-0.1425247448</v>
      </c>
      <c r="G3389" t="n">
        <v>0.0201280534042074</v>
      </c>
      <c r="H3389" t="n">
        <v>0.0342301744855124</v>
      </c>
      <c r="I3389" t="n">
        <v>0.014354218418335</v>
      </c>
      <c r="J3389" t="n">
        <v>0.6233148237815117</v>
      </c>
      <c r="K3389" t="n">
        <v>0.0235128951603173</v>
      </c>
      <c r="L3389" t="b">
        <v>1</v>
      </c>
      <c r="M3389" t="b">
        <v>0</v>
      </c>
      <c r="N3389" t="inlineStr">
        <is>
          <t>ref</t>
        </is>
      </c>
      <c r="O3389" t="n">
        <v>-35</v>
      </c>
      <c r="P3389" t="n">
        <v>0.002625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IMAGE("https://mitra.stanford.edu/kundaje/oak/projects/neuro-variants/variant_position/credible/roussos_2024/variant_figures/roussos_2024.childhood.GLU/rs4151682_count_position.png",4,220,900)</f>
        <v/>
      </c>
      <c r="T3389">
        <f>IMAGE("https://mitra.stanford.edu/kundaje/oak/projects/neuro-variants/variant_position/credible/roussos_2024/variant_figures/roussos_2024.childhood.GLU/rs4151682_profile_position.png",4,220,900)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0.0518087812</v>
      </c>
      <c r="G3390" t="n">
        <v>0.1681078516035016</v>
      </c>
      <c r="H3390" t="n">
        <v>0.0096863799798861</v>
      </c>
      <c r="I3390" t="n">
        <v>0.6907163635614916</v>
      </c>
      <c r="J3390" t="n">
        <v>0.6918932283886388</v>
      </c>
      <c r="K3390" t="n">
        <v>0.0158257594566071</v>
      </c>
      <c r="L3390" t="b">
        <v>0</v>
      </c>
      <c r="M3390" t="b">
        <v>0</v>
      </c>
      <c r="N3390" t="inlineStr">
        <is>
          <t>alt</t>
        </is>
      </c>
      <c r="O3390" t="n">
        <v>-100</v>
      </c>
      <c r="P3390" t="n">
        <v>0.0217</v>
      </c>
      <c r="Q3390" t="n">
        <v>85</v>
      </c>
      <c r="R3390" t="n">
        <v>0.0737</v>
      </c>
      <c r="S3390">
        <f>IMAGE("https://mitra.stanford.edu/kundaje/oak/projects/neuro-variants/variant_position/credible/roussos_2024/variant_figures/roussos_2024.childhood.GLU/rs11958868_count_position.png",4,220,900)</f>
        <v/>
      </c>
      <c r="T3390">
        <f>IMAGE("https://mitra.stanford.edu/kundaje/oak/projects/neuro-variants/variant_position/credible/roussos_2024/variant_figures/roussos_2024.childhood.GLU/rs11958868_profile_position.png",4,220,900)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-0.0578512232</v>
      </c>
      <c r="G3391" t="n">
        <v>0.1398602521396701</v>
      </c>
      <c r="H3391" t="n">
        <v>0.0121922964921531</v>
      </c>
      <c r="I3391" t="n">
        <v>0.4346669777358672</v>
      </c>
      <c r="J3391" t="n">
        <v>0.0094120555904683</v>
      </c>
      <c r="K3391" t="n">
        <v>0.6040146935305201</v>
      </c>
      <c r="L3391" t="b">
        <v>0</v>
      </c>
      <c r="M3391" t="b">
        <v>0</v>
      </c>
      <c r="N3391" t="inlineStr">
        <is>
          <t>ref</t>
        </is>
      </c>
      <c r="O3391" t="n">
        <v>40</v>
      </c>
      <c r="P3391" t="n">
        <v>0.011826</v>
      </c>
      <c r="Q3391" t="n">
        <v>-100</v>
      </c>
      <c r="R3391" t="n">
        <v>0.02954</v>
      </c>
      <c r="S3391">
        <f>IMAGE("https://mitra.stanford.edu/kundaje/oak/projects/neuro-variants/variant_position/credible/roussos_2024/variant_figures/roussos_2024.childhood.GLU/rs10038174_count_position.png",4,220,900)</f>
        <v/>
      </c>
      <c r="T3391">
        <f>IMAGE("https://mitra.stanford.edu/kundaje/oak/projects/neuro-variants/variant_position/credible/roussos_2024/variant_figures/roussos_2024.childhood.GLU/rs10038174_profile_position.png",4,220,900)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-0.0365640068</v>
      </c>
      <c r="G3392" t="n">
        <v>0.2749900180280876</v>
      </c>
      <c r="H3392" t="n">
        <v>0.0279426346076632</v>
      </c>
      <c r="I3392" t="n">
        <v>0.0289982433919026</v>
      </c>
      <c r="J3392" t="n">
        <v>0.0097530571666992</v>
      </c>
      <c r="K3392" t="n">
        <v>0.6053490093215108</v>
      </c>
      <c r="L3392" t="b">
        <v>0</v>
      </c>
      <c r="M3392" t="b">
        <v>0</v>
      </c>
      <c r="N3392" t="inlineStr">
        <is>
          <t>ref</t>
        </is>
      </c>
      <c r="O3392" t="n">
        <v>100</v>
      </c>
      <c r="P3392" t="n">
        <v>0.012314</v>
      </c>
      <c r="Q3392" t="n">
        <v>25</v>
      </c>
      <c r="R3392" t="n">
        <v>0.029</v>
      </c>
      <c r="S3392">
        <f>IMAGE("https://mitra.stanford.edu/kundaje/oak/projects/neuro-variants/variant_position/credible/roussos_2024/variant_figures/roussos_2024.childhood.GLU/rs35123355_count_position.png",4,220,900)</f>
        <v/>
      </c>
      <c r="T3392">
        <f>IMAGE("https://mitra.stanford.edu/kundaje/oak/projects/neuro-variants/variant_position/credible/roussos_2024/variant_figures/roussos_2024.childhood.GLU/rs35123355_profile_position.png",4,220,900)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0.0171134584</v>
      </c>
      <c r="G3393" t="n">
        <v>0.3983021849172039</v>
      </c>
      <c r="H3393" t="n">
        <v>0.0215114249384376</v>
      </c>
      <c r="I3393" t="n">
        <v>0.0758806241424578</v>
      </c>
      <c r="J3393" t="n">
        <v>0.8296094450225102</v>
      </c>
      <c r="K3393" t="n">
        <v>0.0054777114663868</v>
      </c>
      <c r="L3393" t="b">
        <v>0</v>
      </c>
      <c r="M3393" t="b">
        <v>0</v>
      </c>
      <c r="N3393" t="inlineStr">
        <is>
          <t>alt</t>
        </is>
      </c>
      <c r="O3393" t="n">
        <v>55</v>
      </c>
      <c r="P3393" t="n">
        <v>0.008514000000000001</v>
      </c>
      <c r="Q3393" t="n">
        <v>-100</v>
      </c>
      <c r="R3393" t="n">
        <v>0.04956</v>
      </c>
      <c r="S3393">
        <f>IMAGE("https://mitra.stanford.edu/kundaje/oak/projects/neuro-variants/variant_position/credible/roussos_2024/variant_figures/roussos_2024.childhood.GLU/rs31745_count_position.png",4,220,900)</f>
        <v/>
      </c>
      <c r="T3393">
        <f>IMAGE("https://mitra.stanford.edu/kundaje/oak/projects/neuro-variants/variant_position/credible/roussos_2024/variant_figures/roussos_2024.childhood.GLU/rs31745_profile_position.png",4,220,900)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0.0971282604</v>
      </c>
      <c r="G3394" t="n">
        <v>0.0492613592312254</v>
      </c>
      <c r="H3394" t="n">
        <v>0.0138705963117456</v>
      </c>
      <c r="I3394" t="n">
        <v>0.304683480176328</v>
      </c>
      <c r="J3394" t="n">
        <v>0.0153224061730556</v>
      </c>
      <c r="K3394" t="n">
        <v>0.571559060137273</v>
      </c>
      <c r="L3394" t="b">
        <v>0</v>
      </c>
      <c r="M3394" t="b">
        <v>0</v>
      </c>
      <c r="N3394" t="inlineStr">
        <is>
          <t>alt</t>
        </is>
      </c>
      <c r="O3394" t="n">
        <v>90</v>
      </c>
      <c r="P3394" t="n">
        <v>0.004494</v>
      </c>
      <c r="Q3394" t="n">
        <v>35</v>
      </c>
      <c r="R3394" t="n">
        <v>0.003296</v>
      </c>
      <c r="S3394">
        <f>IMAGE("https://mitra.stanford.edu/kundaje/oak/projects/neuro-variants/variant_position/credible/roussos_2024/variant_figures/roussos_2024.childhood.GLU/rs34907800_count_position.png",4,220,900)</f>
        <v/>
      </c>
      <c r="T3394">
        <f>IMAGE("https://mitra.stanford.edu/kundaje/oak/projects/neuro-variants/variant_position/credible/roussos_2024/variant_figures/roussos_2024.childhood.GLU/rs34907800_profile_position.png",4,220,900)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0.01534711846</v>
      </c>
      <c r="G3395" t="n">
        <v>0.4626134080383601</v>
      </c>
      <c r="H3395" t="n">
        <v>0.009737927199505701</v>
      </c>
      <c r="I3395" t="n">
        <v>0.6895386326720978</v>
      </c>
      <c r="J3395" t="n">
        <v>0.0050635128313432</v>
      </c>
      <c r="K3395" t="n">
        <v>0.6788294716013092</v>
      </c>
      <c r="L3395" t="b">
        <v>0</v>
      </c>
      <c r="M3395" t="b">
        <v>0</v>
      </c>
      <c r="N3395" t="inlineStr">
        <is>
          <t>alt</t>
        </is>
      </c>
      <c r="O3395" t="n">
        <v>15</v>
      </c>
      <c r="P3395" t="n">
        <v>0.001675</v>
      </c>
      <c r="Q3395" t="n">
        <v>-95</v>
      </c>
      <c r="R3395" t="n">
        <v>0.1173</v>
      </c>
      <c r="S3395">
        <f>IMAGE("https://mitra.stanford.edu/kundaje/oak/projects/neuro-variants/variant_position/credible/roussos_2024/variant_figures/roussos_2024.childhood.GLU/rs31860_count_position.png",4,220,900)</f>
        <v/>
      </c>
      <c r="T3395">
        <f>IMAGE("https://mitra.stanford.edu/kundaje/oak/projects/neuro-variants/variant_position/credible/roussos_2024/variant_figures/roussos_2024.childhood.GLU/rs31860_profile_position.png",4,220,900)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0.1035698112</v>
      </c>
      <c r="G3396" t="n">
        <v>0.0396918738483245</v>
      </c>
      <c r="H3396" t="n">
        <v>0.0414462232818026</v>
      </c>
      <c r="I3396" t="n">
        <v>0.0058877885641034</v>
      </c>
      <c r="J3396" t="n">
        <v>0.006042218261613</v>
      </c>
      <c r="K3396" t="n">
        <v>0.6622312655066641</v>
      </c>
      <c r="L3396" t="b">
        <v>0</v>
      </c>
      <c r="M3396" t="b">
        <v>0</v>
      </c>
      <c r="N3396" t="inlineStr">
        <is>
          <t>alt</t>
        </is>
      </c>
      <c r="O3396" t="n">
        <v>-35</v>
      </c>
      <c r="P3396" t="n">
        <v>0.002075</v>
      </c>
      <c r="Q3396" t="n">
        <v>-80</v>
      </c>
      <c r="R3396" t="n">
        <v>0.09950000000000001</v>
      </c>
      <c r="S3396">
        <f>IMAGE("https://mitra.stanford.edu/kundaje/oak/projects/neuro-variants/variant_position/credible/roussos_2024/variant_figures/roussos_2024.childhood.GLU/rs31859_count_position.png",4,220,900)</f>
        <v/>
      </c>
      <c r="T3396">
        <f>IMAGE("https://mitra.stanford.edu/kundaje/oak/projects/neuro-variants/variant_position/credible/roussos_2024/variant_figures/roussos_2024.childhood.GLU/rs31859_profile_position.png",4,220,900)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0.164829928</v>
      </c>
      <c r="G3397" t="n">
        <v>0.012882154766944</v>
      </c>
      <c r="H3397" t="n">
        <v>0.034070731160452</v>
      </c>
      <c r="I3397" t="n">
        <v>0.0132216839737993</v>
      </c>
      <c r="J3397" t="n">
        <v>0.0500592374339373</v>
      </c>
      <c r="K3397" t="n">
        <v>0.3517540222788076</v>
      </c>
      <c r="L3397" t="b">
        <v>1</v>
      </c>
      <c r="M3397" t="b">
        <v>0</v>
      </c>
      <c r="N3397" t="inlineStr">
        <is>
          <t>alt</t>
        </is>
      </c>
      <c r="O3397" t="n">
        <v>35</v>
      </c>
      <c r="P3397" t="n">
        <v>0.00757</v>
      </c>
      <c r="Q3397" t="n">
        <v>-95</v>
      </c>
      <c r="R3397" t="n">
        <v>0.0747</v>
      </c>
      <c r="S3397">
        <f>IMAGE("https://mitra.stanford.edu/kundaje/oak/projects/neuro-variants/variant_position/credible/roussos_2024/variant_figures/roussos_2024.childhood.GLU/rs35110655_count_position.png",4,220,900)</f>
        <v/>
      </c>
      <c r="T3397">
        <f>IMAGE("https://mitra.stanford.edu/kundaje/oak/projects/neuro-variants/variant_position/credible/roussos_2024/variant_figures/roussos_2024.childhood.GLU/rs35110655_profile_position.png",4,220,900)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0.275823592</v>
      </c>
      <c r="G3398" t="n">
        <v>0.0028175240846711</v>
      </c>
      <c r="H3398" t="n">
        <v>0.0456103891169525</v>
      </c>
      <c r="I3398" t="n">
        <v>0.0040225252863904</v>
      </c>
      <c r="J3398" t="n">
        <v>0.000450204497924</v>
      </c>
      <c r="K3398" t="n">
        <v>0.8821297911700097</v>
      </c>
      <c r="L3398" t="b">
        <v>1</v>
      </c>
      <c r="M3398" t="b">
        <v>1</v>
      </c>
      <c r="N3398" t="inlineStr">
        <is>
          <t>alt</t>
        </is>
      </c>
      <c r="O3398" t="n">
        <v>-95</v>
      </c>
      <c r="P3398" t="n">
        <v>0.00618</v>
      </c>
      <c r="Q3398" t="n">
        <v>85</v>
      </c>
      <c r="R3398" t="n">
        <v>0.0332</v>
      </c>
      <c r="S3398">
        <f>IMAGE("https://mitra.stanford.edu/kundaje/oak/projects/neuro-variants/variant_position/credible/roussos_2024/variant_figures/roussos_2024.childhood.GLU/rs34580312_count_position.png",4,220,900)</f>
        <v/>
      </c>
      <c r="T3398">
        <f>IMAGE("https://mitra.stanford.edu/kundaje/oak/projects/neuro-variants/variant_position/credible/roussos_2024/variant_figures/roussos_2024.childhood.GLU/rs34580312_profile_position.png",4,220,900)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-0.0489016598</v>
      </c>
      <c r="G3399" t="n">
        <v>0.1829693848148313</v>
      </c>
      <c r="H3399" t="n">
        <v>0.0117940995149397</v>
      </c>
      <c r="I3399" t="n">
        <v>0.4713852662474715</v>
      </c>
      <c r="J3399" t="n">
        <v>0.6584482882957133</v>
      </c>
      <c r="K3399" t="n">
        <v>0.0193933589581406</v>
      </c>
      <c r="L3399" t="b">
        <v>0</v>
      </c>
      <c r="M3399" t="b">
        <v>0</v>
      </c>
      <c r="N3399" t="inlineStr">
        <is>
          <t>ref</t>
        </is>
      </c>
      <c r="O3399" t="n">
        <v>-40</v>
      </c>
      <c r="P3399" t="n">
        <v>0.012886</v>
      </c>
      <c r="Q3399" t="n">
        <v>-80</v>
      </c>
      <c r="R3399" t="n">
        <v>0.0449</v>
      </c>
      <c r="S3399">
        <f>IMAGE("https://mitra.stanford.edu/kundaje/oak/projects/neuro-variants/variant_position/credible/roussos_2024/variant_figures/roussos_2024.childhood.GLU/rs31853_count_position.png",4,220,900)</f>
        <v/>
      </c>
      <c r="T3399">
        <f>IMAGE("https://mitra.stanford.edu/kundaje/oak/projects/neuro-variants/variant_position/credible/roussos_2024/variant_figures/roussos_2024.childhood.GLU/rs31853_profile_position.png",4,220,900)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-0.0670047916</v>
      </c>
      <c r="G3400" t="n">
        <v>0.1131348424302999</v>
      </c>
      <c r="H3400" t="n">
        <v>0.0134026909811731</v>
      </c>
      <c r="I3400" t="n">
        <v>0.3427814051840309</v>
      </c>
      <c r="J3400" t="n">
        <v>0.038231324755066</v>
      </c>
      <c r="K3400" t="n">
        <v>0.4009018132706699</v>
      </c>
      <c r="L3400" t="b">
        <v>0</v>
      </c>
      <c r="M3400" t="b">
        <v>0</v>
      </c>
      <c r="N3400" t="inlineStr">
        <is>
          <t>ref</t>
        </is>
      </c>
      <c r="O3400" t="n">
        <v>50</v>
      </c>
      <c r="P3400" t="n">
        <v>0.005367</v>
      </c>
      <c r="Q3400" t="n">
        <v>100</v>
      </c>
      <c r="R3400" t="n">
        <v>0.1567</v>
      </c>
      <c r="S3400">
        <f>IMAGE("https://mitra.stanford.edu/kundaje/oak/projects/neuro-variants/variant_position/credible/roussos_2024/variant_figures/roussos_2024.childhood.GLU/rs13183611_count_position.png",4,220,900)</f>
        <v/>
      </c>
      <c r="T3400">
        <f>IMAGE("https://mitra.stanford.edu/kundaje/oak/projects/neuro-variants/variant_position/credible/roussos_2024/variant_figures/roussos_2024.childhood.GLU/rs13183611_profile_position.png",4,220,900)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0.0283127460599999</v>
      </c>
      <c r="G3401" t="n">
        <v>0.3666560502311755</v>
      </c>
      <c r="H3401" t="n">
        <v>0.0109185589642345</v>
      </c>
      <c r="I3401" t="n">
        <v>0.5559683734585968</v>
      </c>
      <c r="J3401" t="n">
        <v>0.8199635303450193</v>
      </c>
      <c r="K3401" t="n">
        <v>0.0060573659032499</v>
      </c>
      <c r="L3401" t="b">
        <v>0</v>
      </c>
      <c r="M3401" t="b">
        <v>0</v>
      </c>
      <c r="N3401" t="inlineStr">
        <is>
          <t>alt</t>
        </is>
      </c>
      <c r="O3401" t="n">
        <v>-100</v>
      </c>
      <c r="P3401" t="n">
        <v>0.1937</v>
      </c>
      <c r="Q3401" t="n">
        <v>-70</v>
      </c>
      <c r="R3401" t="n">
        <v>0.676</v>
      </c>
      <c r="S3401">
        <f>IMAGE("https://mitra.stanford.edu/kundaje/oak/projects/neuro-variants/variant_position/credible/roussos_2024/variant_figures/roussos_2024.childhood.GLU/rs1055410_count_position.png",4,220,900)</f>
        <v/>
      </c>
      <c r="T3401">
        <f>IMAGE("https://mitra.stanford.edu/kundaje/oak/projects/neuro-variants/variant_position/credible/roussos_2024/variant_figures/roussos_2024.childhood.GLU/rs1055410_profile_position.png",4,220,900)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0.0605344274</v>
      </c>
      <c r="G3402" t="n">
        <v>0.1226020221120271</v>
      </c>
      <c r="H3402" t="n">
        <v>0.0134872062618397</v>
      </c>
      <c r="I3402" t="n">
        <v>0.3408563611485664</v>
      </c>
      <c r="J3402" t="n">
        <v>0.0064697580022046</v>
      </c>
      <c r="K3402" t="n">
        <v>0.6595927965988038</v>
      </c>
      <c r="L3402" t="b">
        <v>0</v>
      </c>
      <c r="M3402" t="b">
        <v>0</v>
      </c>
      <c r="N3402" t="inlineStr">
        <is>
          <t>alt</t>
        </is>
      </c>
      <c r="O3402" t="n">
        <v>100</v>
      </c>
      <c r="P3402" t="n">
        <v>0.0094</v>
      </c>
      <c r="Q3402" t="n">
        <v>50</v>
      </c>
      <c r="R3402" t="n">
        <v>0.04944</v>
      </c>
      <c r="S3402">
        <f>IMAGE("https://mitra.stanford.edu/kundaje/oak/projects/neuro-variants/variant_position/credible/roussos_2024/variant_figures/roussos_2024.childhood.GLU/rs34535102_count_position.png",4,220,900)</f>
        <v/>
      </c>
      <c r="T3402">
        <f>IMAGE("https://mitra.stanford.edu/kundaje/oak/projects/neuro-variants/variant_position/credible/roussos_2024/variant_figures/roussos_2024.childhood.GLU/rs34535102_profile_position.png",4,220,900)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-0.044026985</v>
      </c>
      <c r="G3403" t="n">
        <v>0.2205678471486742</v>
      </c>
      <c r="H3403" t="n">
        <v>0.0134012018450324</v>
      </c>
      <c r="I3403" t="n">
        <v>0.3421490461421896</v>
      </c>
      <c r="J3403" t="n">
        <v>0.693542604592704</v>
      </c>
      <c r="K3403" t="n">
        <v>0.0156085770488594</v>
      </c>
      <c r="L3403" t="b">
        <v>0</v>
      </c>
      <c r="M3403" t="b">
        <v>0</v>
      </c>
      <c r="N3403" t="inlineStr">
        <is>
          <t>ref</t>
        </is>
      </c>
      <c r="O3403" t="n">
        <v>25</v>
      </c>
      <c r="P3403" t="n">
        <v>0.001844</v>
      </c>
      <c r="Q3403" t="n">
        <v>-40</v>
      </c>
      <c r="R3403" t="n">
        <v>0.0385</v>
      </c>
      <c r="S3403">
        <f>IMAGE("https://mitra.stanford.edu/kundaje/oak/projects/neuro-variants/variant_position/credible/roussos_2024/variant_figures/roussos_2024.childhood.GLU/rs17844417_count_position.png",4,220,900)</f>
        <v/>
      </c>
      <c r="T3403">
        <f>IMAGE("https://mitra.stanford.edu/kundaje/oak/projects/neuro-variants/variant_position/credible/roussos_2024/variant_figures/roussos_2024.childhood.GLU/rs17844417_profile_position.png",4,220,900)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0.0046388167</v>
      </c>
      <c r="G3404" t="n">
        <v>0.7144362697197579</v>
      </c>
      <c r="H3404" t="n">
        <v>0.0192309048760813</v>
      </c>
      <c r="I3404" t="n">
        <v>0.1136207736709878</v>
      </c>
      <c r="J3404" t="n">
        <v>0.0001164144353899</v>
      </c>
      <c r="K3404" t="n">
        <v>0.942062226229005</v>
      </c>
      <c r="L3404" t="b">
        <v>0</v>
      </c>
      <c r="M3404" t="b">
        <v>0</v>
      </c>
      <c r="N3404" t="inlineStr">
        <is>
          <t>alt</t>
        </is>
      </c>
      <c r="O3404" t="n">
        <v>-100</v>
      </c>
      <c r="P3404" t="n">
        <v>0.002869</v>
      </c>
      <c r="Q3404" t="n">
        <v>-55</v>
      </c>
      <c r="R3404" t="n">
        <v>0.05438</v>
      </c>
      <c r="S3404">
        <f>IMAGE("https://mitra.stanford.edu/kundaje/oak/projects/neuro-variants/variant_position/credible/roussos_2024/variant_figures/roussos_2024.childhood.GLU/rs74601574_count_position.png",4,220,900)</f>
        <v/>
      </c>
      <c r="T3404">
        <f>IMAGE("https://mitra.stanford.edu/kundaje/oak/projects/neuro-variants/variant_position/credible/roussos_2024/variant_figures/roussos_2024.childhood.GLU/rs74601574_profile_position.png",4,220,900)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0.047073859</v>
      </c>
      <c r="G3405" t="n">
        <v>0.1925015399609598</v>
      </c>
      <c r="H3405" t="n">
        <v>0.0139777882987507</v>
      </c>
      <c r="I3405" t="n">
        <v>0.3041051407609033</v>
      </c>
      <c r="J3405" t="n">
        <v>0.0002575540605972</v>
      </c>
      <c r="K3405" t="n">
        <v>0.9003848829129342</v>
      </c>
      <c r="L3405" t="b">
        <v>0</v>
      </c>
      <c r="M3405" t="b">
        <v>0</v>
      </c>
      <c r="N3405" t="inlineStr">
        <is>
          <t>alt</t>
        </is>
      </c>
      <c r="O3405" t="n">
        <v>-5</v>
      </c>
      <c r="P3405" t="n">
        <v>0.0007486</v>
      </c>
      <c r="Q3405" t="n">
        <v>-95</v>
      </c>
      <c r="R3405" t="n">
        <v>0.1249</v>
      </c>
      <c r="S3405">
        <f>IMAGE("https://mitra.stanford.edu/kundaje/oak/projects/neuro-variants/variant_position/credible/roussos_2024/variant_figures/roussos_2024.childhood.GLU/rs35737105_count_position.png",4,220,900)</f>
        <v/>
      </c>
      <c r="T3405">
        <f>IMAGE("https://mitra.stanford.edu/kundaje/oak/projects/neuro-variants/variant_position/credible/roussos_2024/variant_figures/roussos_2024.childhood.GLU/rs35737105_profile_position.png",4,220,900)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0.115411654</v>
      </c>
      <c r="G3406" t="n">
        <v>0.0366334894921439</v>
      </c>
      <c r="H3406" t="n">
        <v>0.0172507619607022</v>
      </c>
      <c r="I3406" t="n">
        <v>0.1666521560567096</v>
      </c>
      <c r="J3406" t="n">
        <v>0.0114560046153687</v>
      </c>
      <c r="K3406" t="n">
        <v>0.5777065610312909</v>
      </c>
      <c r="L3406" t="b">
        <v>0</v>
      </c>
      <c r="M3406" t="b">
        <v>0</v>
      </c>
      <c r="N3406" t="inlineStr">
        <is>
          <t>alt</t>
        </is>
      </c>
      <c r="O3406" t="n">
        <v>85</v>
      </c>
      <c r="P3406" t="n">
        <v>0.01779</v>
      </c>
      <c r="Q3406" t="n">
        <v>-100</v>
      </c>
      <c r="R3406" t="n">
        <v>0.11487</v>
      </c>
      <c r="S3406">
        <f>IMAGE("https://mitra.stanford.edu/kundaje/oak/projects/neuro-variants/variant_position/credible/roussos_2024/variant_figures/roussos_2024.childhood.GLU/rs3864272_count_position.png",4,220,900)</f>
        <v/>
      </c>
      <c r="T3406">
        <f>IMAGE("https://mitra.stanford.edu/kundaje/oak/projects/neuro-variants/variant_position/credible/roussos_2024/variant_figures/roussos_2024.childhood.GLU/rs3864272_profile_position.png",4,220,900)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0.23711762</v>
      </c>
      <c r="G3407" t="n">
        <v>0.0043503115437091</v>
      </c>
      <c r="H3407" t="n">
        <v>0.0435048496780885</v>
      </c>
      <c r="I3407" t="n">
        <v>0.0051447744322269</v>
      </c>
      <c r="J3407" t="n">
        <v>0.1990439593270627</v>
      </c>
      <c r="K3407" t="n">
        <v>0.1501672680863604</v>
      </c>
      <c r="L3407" t="b">
        <v>1</v>
      </c>
      <c r="M3407" t="b">
        <v>1</v>
      </c>
      <c r="N3407" t="inlineStr">
        <is>
          <t>alt</t>
        </is>
      </c>
      <c r="O3407" t="n">
        <v>100</v>
      </c>
      <c r="P3407" t="n">
        <v>0.0166</v>
      </c>
      <c r="Q3407" t="n">
        <v>20</v>
      </c>
      <c r="R3407" t="n">
        <v>0.01733</v>
      </c>
      <c r="S3407">
        <f>IMAGE("https://mitra.stanford.edu/kundaje/oak/projects/neuro-variants/variant_position/credible/roussos_2024/variant_figures/roussos_2024.childhood.GLU/rs12657267_count_position.png",4,220,900)</f>
        <v/>
      </c>
      <c r="T3407">
        <f>IMAGE("https://mitra.stanford.edu/kundaje/oak/projects/neuro-variants/variant_position/credible/roussos_2024/variant_figures/roussos_2024.childhood.GLU/rs12657267_profile_position.png",4,220,900)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-0.0159826686599999</v>
      </c>
      <c r="G3408" t="n">
        <v>0.5000845535412364</v>
      </c>
      <c r="H3408" t="n">
        <v>0.0102467151998576</v>
      </c>
      <c r="I3408" t="n">
        <v>0.6349940497175823</v>
      </c>
      <c r="J3408" t="n">
        <v>0.5000772662181792</v>
      </c>
      <c r="K3408" t="n">
        <v>0.0420692761930393</v>
      </c>
      <c r="L3408" t="b">
        <v>0</v>
      </c>
      <c r="M3408" t="b">
        <v>0</v>
      </c>
      <c r="N3408" t="inlineStr">
        <is>
          <t>ref</t>
        </is>
      </c>
      <c r="O3408" t="n">
        <v>-100</v>
      </c>
      <c r="P3408" t="n">
        <v>0.03204</v>
      </c>
      <c r="Q3408" t="n">
        <v>-60</v>
      </c>
      <c r="R3408" t="n">
        <v>0.1602</v>
      </c>
      <c r="S3408">
        <f>IMAGE("https://mitra.stanford.edu/kundaje/oak/projects/neuro-variants/variant_position/credible/roussos_2024/variant_figures/roussos_2024.childhood.GLU/rs17454953_count_position.png",4,220,900)</f>
        <v/>
      </c>
      <c r="T3408">
        <f>IMAGE("https://mitra.stanford.edu/kundaje/oak/projects/neuro-variants/variant_position/credible/roussos_2024/variant_figures/roussos_2024.childhood.GLU/rs17454953_profile_position.png",4,220,900)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-0.0203740693</v>
      </c>
      <c r="G3409" t="n">
        <v>0.4675510913748172</v>
      </c>
      <c r="H3409" t="n">
        <v>0.024848943195292</v>
      </c>
      <c r="I3409" t="n">
        <v>0.0448408115706596</v>
      </c>
      <c r="J3409" t="n">
        <v>0.1136771508339599</v>
      </c>
      <c r="K3409" t="n">
        <v>0.2281071899730704</v>
      </c>
      <c r="L3409" t="b">
        <v>0</v>
      </c>
      <c r="M3409" t="b">
        <v>0</v>
      </c>
      <c r="N3409" t="inlineStr">
        <is>
          <t>ref</t>
        </is>
      </c>
      <c r="O3409" t="n">
        <v>20</v>
      </c>
      <c r="P3409" t="n">
        <v>0.00408</v>
      </c>
      <c r="Q3409" t="n">
        <v>70</v>
      </c>
      <c r="R3409" t="n">
        <v>0.01004</v>
      </c>
      <c r="S3409">
        <f>IMAGE("https://mitra.stanford.edu/kundaje/oak/projects/neuro-variants/variant_position/credible/roussos_2024/variant_figures/roussos_2024.childhood.GLU/rs17455625_count_position.png",4,220,900)</f>
        <v/>
      </c>
      <c r="T3409">
        <f>IMAGE("https://mitra.stanford.edu/kundaje/oak/projects/neuro-variants/variant_position/credible/roussos_2024/variant_figures/roussos_2024.childhood.GLU/rs17455625_profile_position.png",4,220,900)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-0.08733954839999999</v>
      </c>
      <c r="G3410" t="n">
        <v>0.0742387605075592</v>
      </c>
      <c r="H3410" t="n">
        <v>0.0139449796791775</v>
      </c>
      <c r="I3410" t="n">
        <v>0.3080910454953132</v>
      </c>
      <c r="J3410" t="n">
        <v>0.1160991892198171</v>
      </c>
      <c r="K3410" t="n">
        <v>0.2315197994041138</v>
      </c>
      <c r="L3410" t="b">
        <v>0</v>
      </c>
      <c r="M3410" t="b">
        <v>0</v>
      </c>
      <c r="N3410" t="inlineStr">
        <is>
          <t>ref</t>
        </is>
      </c>
      <c r="O3410" t="n">
        <v>80</v>
      </c>
      <c r="P3410" t="n">
        <v>0.01294</v>
      </c>
      <c r="Q3410" t="n">
        <v>-15</v>
      </c>
      <c r="R3410" t="n">
        <v>0.01904</v>
      </c>
      <c r="S3410">
        <f>IMAGE("https://mitra.stanford.edu/kundaje/oak/projects/neuro-variants/variant_position/credible/roussos_2024/variant_figures/roussos_2024.childhood.GLU/rs12657990_count_position.png",4,220,900)</f>
        <v/>
      </c>
      <c r="T3410">
        <f>IMAGE("https://mitra.stanford.edu/kundaje/oak/projects/neuro-variants/variant_position/credible/roussos_2024/variant_figures/roussos_2024.childhood.GLU/rs12657990_profile_position.png",4,220,900)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-0.333697612</v>
      </c>
      <c r="G3411" t="n">
        <v>0.0014165892211736</v>
      </c>
      <c r="H3411" t="n">
        <v>0.048906229876625</v>
      </c>
      <c r="I3411" t="n">
        <v>0.0030387438055966</v>
      </c>
      <c r="J3411" t="n">
        <v>0.1816611206692284</v>
      </c>
      <c r="K3411" t="n">
        <v>0.1612954617504523</v>
      </c>
      <c r="L3411" t="b">
        <v>1</v>
      </c>
      <c r="M3411" t="b">
        <v>1</v>
      </c>
      <c r="N3411" t="inlineStr">
        <is>
          <t>ref</t>
        </is>
      </c>
      <c r="O3411" t="n">
        <v>70</v>
      </c>
      <c r="P3411" t="n">
        <v>0.00647</v>
      </c>
      <c r="Q3411" t="n">
        <v>95</v>
      </c>
      <c r="R3411" t="n">
        <v>0.19</v>
      </c>
      <c r="S3411">
        <f>IMAGE("https://mitra.stanford.edu/kundaje/oak/projects/neuro-variants/variant_position/credible/roussos_2024/variant_figures/roussos_2024.childhood.GLU/rs77257050_count_position.png",4,220,900)</f>
        <v/>
      </c>
      <c r="T3411">
        <f>IMAGE("https://mitra.stanford.edu/kundaje/oak/projects/neuro-variants/variant_position/credible/roussos_2024/variant_figures/roussos_2024.childhood.GLU/rs77257050_profile_position.png",4,220,900)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-0.07967294799999999</v>
      </c>
      <c r="G3412" t="n">
        <v>0.0803221731293515</v>
      </c>
      <c r="H3412" t="n">
        <v>0.0263174722735729</v>
      </c>
      <c r="I3412" t="n">
        <v>0.038473975899457</v>
      </c>
      <c r="J3412" t="n">
        <v>0.0005521959059205</v>
      </c>
      <c r="K3412" t="n">
        <v>0.8634396509205566</v>
      </c>
      <c r="L3412" t="b">
        <v>0</v>
      </c>
      <c r="M3412" t="b">
        <v>0</v>
      </c>
      <c r="N3412" t="inlineStr">
        <is>
          <t>ref</t>
        </is>
      </c>
      <c r="O3412" t="n">
        <v>10</v>
      </c>
      <c r="P3412" t="n">
        <v>0.0047</v>
      </c>
      <c r="Q3412" t="n">
        <v>-100</v>
      </c>
      <c r="R3412" t="n">
        <v>0.1321</v>
      </c>
      <c r="S3412">
        <f>IMAGE("https://mitra.stanford.edu/kundaje/oak/projects/neuro-variants/variant_position/credible/roussos_2024/variant_figures/roussos_2024.childhood.GLU/rs4133347_count_position.png",4,220,900)</f>
        <v/>
      </c>
      <c r="T3412">
        <f>IMAGE("https://mitra.stanford.edu/kundaje/oak/projects/neuro-variants/variant_position/credible/roussos_2024/variant_figures/roussos_2024.childhood.GLU/rs4133347_profile_position.png",4,220,900)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0.0262758594599999</v>
      </c>
      <c r="G3413" t="n">
        <v>0.3778237976099988</v>
      </c>
      <c r="H3413" t="n">
        <v>0.0156310245326451</v>
      </c>
      <c r="I3413" t="n">
        <v>0.2165745918252698</v>
      </c>
      <c r="J3413" t="n">
        <v>0.06261551299617781</v>
      </c>
      <c r="K3413" t="n">
        <v>0.3183926921137858</v>
      </c>
      <c r="L3413" t="b">
        <v>0</v>
      </c>
      <c r="M3413" t="b">
        <v>0</v>
      </c>
      <c r="N3413" t="inlineStr">
        <is>
          <t>alt</t>
        </is>
      </c>
      <c r="O3413" t="n">
        <v>70</v>
      </c>
      <c r="P3413" t="n">
        <v>0.01996</v>
      </c>
      <c r="Q3413" t="n">
        <v>70</v>
      </c>
      <c r="R3413" t="n">
        <v>0.01489</v>
      </c>
      <c r="S3413">
        <f>IMAGE("https://mitra.stanford.edu/kundaje/oak/projects/neuro-variants/variant_position/credible/roussos_2024/variant_figures/roussos_2024.childhood.GLU/rs55737372_count_position.png",4,220,900)</f>
        <v/>
      </c>
      <c r="T3413">
        <f>IMAGE("https://mitra.stanford.edu/kundaje/oak/projects/neuro-variants/variant_position/credible/roussos_2024/variant_figures/roussos_2024.childhood.GLU/rs55737372_profile_position.png",4,220,900)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-0.1269433726</v>
      </c>
      <c r="G3414" t="n">
        <v>0.0463468942431877</v>
      </c>
      <c r="H3414" t="n">
        <v>0.0192596542264352</v>
      </c>
      <c r="I3414" t="n">
        <v>0.1261554381698998</v>
      </c>
      <c r="J3414" t="n">
        <v>0.0951054426324084</v>
      </c>
      <c r="K3414" t="n">
        <v>0.2534849403009412</v>
      </c>
      <c r="L3414" t="b">
        <v>0</v>
      </c>
      <c r="M3414" t="b">
        <v>0</v>
      </c>
      <c r="N3414" t="inlineStr">
        <is>
          <t>ref</t>
        </is>
      </c>
      <c r="O3414" t="n">
        <v>-50</v>
      </c>
      <c r="P3414" t="n">
        <v>0.01624</v>
      </c>
      <c r="Q3414" t="n">
        <v>-45</v>
      </c>
      <c r="R3414" t="n">
        <v>0.1372</v>
      </c>
      <c r="S3414">
        <f>IMAGE("https://mitra.stanford.edu/kundaje/oak/projects/neuro-variants/variant_position/credible/roussos_2024/variant_figures/roussos_2024.childhood.GLU/rs11167589_count_position.png",4,220,900)</f>
        <v/>
      </c>
      <c r="T3414">
        <f>IMAGE("https://mitra.stanford.edu/kundaje/oak/projects/neuro-variants/variant_position/credible/roussos_2024/variant_figures/roussos_2024.childhood.GLU/rs11167589_profile_position.png",4,220,900)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0.0655133136</v>
      </c>
      <c r="G3415" t="n">
        <v>0.1188170892960453</v>
      </c>
      <c r="H3415" t="n">
        <v>0.0144400254000478</v>
      </c>
      <c r="I3415" t="n">
        <v>0.2754564925364096</v>
      </c>
      <c r="J3415" t="n">
        <v>0.0102825883152873</v>
      </c>
      <c r="K3415" t="n">
        <v>0.5837706062862194</v>
      </c>
      <c r="L3415" t="b">
        <v>0</v>
      </c>
      <c r="M3415" t="b">
        <v>0</v>
      </c>
      <c r="N3415" t="inlineStr">
        <is>
          <t>alt</t>
        </is>
      </c>
      <c r="O3415" t="n">
        <v>-100</v>
      </c>
      <c r="P3415" t="n">
        <v>0.005074</v>
      </c>
      <c r="Q3415" t="n">
        <v>100</v>
      </c>
      <c r="R3415" t="n">
        <v>0.09296</v>
      </c>
      <c r="S3415">
        <f>IMAGE("https://mitra.stanford.edu/kundaje/oak/projects/neuro-variants/variant_position/credible/roussos_2024/variant_figures/roussos_2024.childhood.GLU/rs72799143_count_position.png",4,220,900)</f>
        <v/>
      </c>
      <c r="T3415">
        <f>IMAGE("https://mitra.stanford.edu/kundaje/oak/projects/neuro-variants/variant_position/credible/roussos_2024/variant_figures/roussos_2024.childhood.GLU/rs72799143_profile_position.png",4,220,900)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-0.00391813778</v>
      </c>
      <c r="G3416" t="n">
        <v>0.7641045411909048</v>
      </c>
      <c r="H3416" t="n">
        <v>0.0089673714400853</v>
      </c>
      <c r="I3416" t="n">
        <v>0.7834648080696752</v>
      </c>
      <c r="J3416" t="n">
        <v>0.0015164783087969</v>
      </c>
      <c r="K3416" t="n">
        <v>0.7966149222388367</v>
      </c>
      <c r="L3416" t="b">
        <v>0</v>
      </c>
      <c r="M3416" t="b">
        <v>0</v>
      </c>
      <c r="N3416" t="inlineStr">
        <is>
          <t>ref</t>
        </is>
      </c>
      <c r="O3416" t="n">
        <v>60</v>
      </c>
      <c r="P3416" t="n">
        <v>0.0001907</v>
      </c>
      <c r="Q3416" t="n">
        <v>-65</v>
      </c>
      <c r="R3416" t="n">
        <v>0.0968</v>
      </c>
      <c r="S3416">
        <f>IMAGE("https://mitra.stanford.edu/kundaje/oak/projects/neuro-variants/variant_position/credible/roussos_2024/variant_figures/roussos_2024.childhood.GLU/rs72799151_count_position.png",4,220,900)</f>
        <v/>
      </c>
      <c r="T3416">
        <f>IMAGE("https://mitra.stanford.edu/kundaje/oak/projects/neuro-variants/variant_position/credible/roussos_2024/variant_figures/roussos_2024.childhood.GLU/rs72799151_profile_position.png",4,220,900)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0.0105378611</v>
      </c>
      <c r="G3417" t="n">
        <v>0.6281328492749255</v>
      </c>
      <c r="H3417" t="n">
        <v>0.0221418228270993</v>
      </c>
      <c r="I3417" t="n">
        <v>0.07349915645426559</v>
      </c>
      <c r="J3417" t="n">
        <v>0.0011971112736562</v>
      </c>
      <c r="K3417" t="n">
        <v>0.8075028991144415</v>
      </c>
      <c r="L3417" t="b">
        <v>0</v>
      </c>
      <c r="M3417" t="b">
        <v>0</v>
      </c>
      <c r="N3417" t="inlineStr">
        <is>
          <t>alt</t>
        </is>
      </c>
      <c r="O3417" t="n">
        <v>80</v>
      </c>
      <c r="P3417" t="n">
        <v>0.01358</v>
      </c>
      <c r="Q3417" t="n">
        <v>-30</v>
      </c>
      <c r="R3417" t="n">
        <v>0.0047</v>
      </c>
      <c r="S3417">
        <f>IMAGE("https://mitra.stanford.edu/kundaje/oak/projects/neuro-variants/variant_position/credible/roussos_2024/variant_figures/roussos_2024.childhood.GLU/rs72799160_count_position.png",4,220,900)</f>
        <v/>
      </c>
      <c r="T3417">
        <f>IMAGE("https://mitra.stanford.edu/kundaje/oak/projects/neuro-variants/variant_position/credible/roussos_2024/variant_figures/roussos_2024.childhood.GLU/rs72799160_profile_position.png",4,220,900)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-0.0302375608</v>
      </c>
      <c r="G3418" t="n">
        <v>0.3587150189928871</v>
      </c>
      <c r="H3418" t="n">
        <v>0.0270190852138275</v>
      </c>
      <c r="I3418" t="n">
        <v>0.0332662411427776</v>
      </c>
      <c r="J3418" t="n">
        <v>0.0011662047863846</v>
      </c>
      <c r="K3418" t="n">
        <v>0.8097035787508821</v>
      </c>
      <c r="L3418" t="b">
        <v>0</v>
      </c>
      <c r="M3418" t="b">
        <v>0</v>
      </c>
      <c r="N3418" t="inlineStr">
        <is>
          <t>ref</t>
        </is>
      </c>
      <c r="O3418" t="n">
        <v>10</v>
      </c>
      <c r="P3418" t="n">
        <v>0.001924</v>
      </c>
      <c r="Q3418" t="n">
        <v>20</v>
      </c>
      <c r="R3418" t="n">
        <v>0.01469</v>
      </c>
      <c r="S3418">
        <f>IMAGE("https://mitra.stanford.edu/kundaje/oak/projects/neuro-variants/variant_position/credible/roussos_2024/variant_figures/roussos_2024.childhood.GLU/rs56208248_count_position.png",4,220,900)</f>
        <v/>
      </c>
      <c r="T3418">
        <f>IMAGE("https://mitra.stanford.edu/kundaje/oak/projects/neuro-variants/variant_position/credible/roussos_2024/variant_figures/roussos_2024.childhood.GLU/rs56208248_profile_position.png",4,220,900)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-0.002514286528</v>
      </c>
      <c r="G3419" t="n">
        <v>0.8835300267716424</v>
      </c>
      <c r="H3419" t="n">
        <v>0.0071202780340488</v>
      </c>
      <c r="I3419" t="n">
        <v>0.9299567231437692</v>
      </c>
      <c r="J3419" t="n">
        <v>0.0490547765976077</v>
      </c>
      <c r="K3419" t="n">
        <v>0.3571519613425324</v>
      </c>
      <c r="L3419" t="b">
        <v>0</v>
      </c>
      <c r="M3419" t="b">
        <v>0</v>
      </c>
      <c r="N3419" t="inlineStr">
        <is>
          <t>ref</t>
        </is>
      </c>
      <c r="O3419" t="n">
        <v>-100</v>
      </c>
      <c r="P3419" t="n">
        <v>0.06097</v>
      </c>
      <c r="Q3419" t="n">
        <v>-5</v>
      </c>
      <c r="R3419" t="n">
        <v>0.01367</v>
      </c>
      <c r="S3419">
        <f>IMAGE("https://mitra.stanford.edu/kundaje/oak/projects/neuro-variants/variant_position/credible/roussos_2024/variant_figures/roussos_2024.childhood.GLU/rs56286804_count_position.png",4,220,900)</f>
        <v/>
      </c>
      <c r="T3419">
        <f>IMAGE("https://mitra.stanford.edu/kundaje/oak/projects/neuro-variants/variant_position/credible/roussos_2024/variant_figures/roussos_2024.childhood.GLU/rs56286804_profile_position.png",4,220,900)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0.143296984</v>
      </c>
      <c r="G3420" t="n">
        <v>0.018576771852414</v>
      </c>
      <c r="H3420" t="n">
        <v>0.0212482252538225</v>
      </c>
      <c r="I3420" t="n">
        <v>0.08274830803332291</v>
      </c>
      <c r="J3420" t="n">
        <v>0.0037386547436306</v>
      </c>
      <c r="K3420" t="n">
        <v>0.7088318941291062</v>
      </c>
      <c r="L3420" t="b">
        <v>1</v>
      </c>
      <c r="M3420" t="b">
        <v>0</v>
      </c>
      <c r="N3420" t="inlineStr">
        <is>
          <t>alt</t>
        </is>
      </c>
      <c r="O3420" t="n">
        <v>-35</v>
      </c>
      <c r="P3420" t="n">
        <v>0.00261</v>
      </c>
      <c r="Q3420" t="n">
        <v>90</v>
      </c>
      <c r="R3420" t="n">
        <v>0.1144</v>
      </c>
      <c r="S3420">
        <f>IMAGE("https://mitra.stanford.edu/kundaje/oak/projects/neuro-variants/variant_position/credible/roussos_2024/variant_figures/roussos_2024.childhood.GLU/rs72799178_count_position.png",4,220,900)</f>
        <v/>
      </c>
      <c r="T3420">
        <f>IMAGE("https://mitra.stanford.edu/kundaje/oak/projects/neuro-variants/variant_position/credible/roussos_2024/variant_figures/roussos_2024.childhood.GLU/rs72799178_profile_position.png",4,220,900)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-0.014020441906</v>
      </c>
      <c r="G3421" t="n">
        <v>0.583565598173061</v>
      </c>
      <c r="H3421" t="n">
        <v>0.0239385813357299</v>
      </c>
      <c r="I3421" t="n">
        <v>0.0509673090313463</v>
      </c>
      <c r="J3421" t="n">
        <v>0.0713486560829117</v>
      </c>
      <c r="K3421" t="n">
        <v>0.2993465499856734</v>
      </c>
      <c r="L3421" t="b">
        <v>0</v>
      </c>
      <c r="M3421" t="b">
        <v>0</v>
      </c>
      <c r="N3421" t="inlineStr">
        <is>
          <t>ref</t>
        </is>
      </c>
      <c r="O3421" t="n">
        <v>25</v>
      </c>
      <c r="P3421" t="n">
        <v>0.003082</v>
      </c>
      <c r="Q3421" t="n">
        <v>100</v>
      </c>
      <c r="R3421" t="n">
        <v>0.1934</v>
      </c>
      <c r="S3421">
        <f>IMAGE("https://mitra.stanford.edu/kundaje/oak/projects/neuro-variants/variant_position/credible/roussos_2024/variant_figures/roussos_2024.childhood.GLU/rs111294930_count_position.png",4,220,900)</f>
        <v/>
      </c>
      <c r="T3421">
        <f>IMAGE("https://mitra.stanford.edu/kundaje/oak/projects/neuro-variants/variant_position/credible/roussos_2024/variant_figures/roussos_2024.childhood.GLU/rs111294930_profile_position.png",4,220,900)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-0.0403011484</v>
      </c>
      <c r="G3422" t="n">
        <v>0.2471114014809281</v>
      </c>
      <c r="H3422" t="n">
        <v>0.0113099466315252</v>
      </c>
      <c r="I3422" t="n">
        <v>0.51851435461207</v>
      </c>
      <c r="J3422" t="n">
        <v>0.0050635128313432</v>
      </c>
      <c r="K3422" t="n">
        <v>0.6707681364629973</v>
      </c>
      <c r="L3422" t="b">
        <v>0</v>
      </c>
      <c r="M3422" t="b">
        <v>0</v>
      </c>
      <c r="N3422" t="inlineStr">
        <is>
          <t>ref</t>
        </is>
      </c>
      <c r="O3422" t="n">
        <v>-30</v>
      </c>
      <c r="P3422" t="n">
        <v>0.004955</v>
      </c>
      <c r="Q3422" t="n">
        <v>-75</v>
      </c>
      <c r="R3422" t="n">
        <v>0.0672</v>
      </c>
      <c r="S3422">
        <f>IMAGE("https://mitra.stanford.edu/kundaje/oak/projects/neuro-variants/variant_position/credible/roussos_2024/variant_figures/roussos_2024.childhood.GLU/rs55918828_count_position.png",4,220,900)</f>
        <v/>
      </c>
      <c r="T3422">
        <f>IMAGE("https://mitra.stanford.edu/kundaje/oak/projects/neuro-variants/variant_position/credible/roussos_2024/variant_figures/roussos_2024.childhood.GLU/rs55918828_profile_position.png",4,220,900)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-0.023754976</v>
      </c>
      <c r="G3423" t="n">
        <v>0.4099608347651134</v>
      </c>
      <c r="H3423" t="n">
        <v>0.0120455686493074</v>
      </c>
      <c r="I3423" t="n">
        <v>0.4512246489490101</v>
      </c>
      <c r="J3423" t="n">
        <v>0.0041095325908907</v>
      </c>
      <c r="K3423" t="n">
        <v>0.6935942953516759</v>
      </c>
      <c r="L3423" t="b">
        <v>0</v>
      </c>
      <c r="M3423" t="b">
        <v>0</v>
      </c>
      <c r="N3423" t="inlineStr">
        <is>
          <t>ref</t>
        </is>
      </c>
      <c r="O3423" t="n">
        <v>40</v>
      </c>
      <c r="P3423" t="n">
        <v>0.017</v>
      </c>
      <c r="Q3423" t="n">
        <v>35</v>
      </c>
      <c r="R3423" t="n">
        <v>0.02112</v>
      </c>
      <c r="S3423">
        <f>IMAGE("https://mitra.stanford.edu/kundaje/oak/projects/neuro-variants/variant_position/credible/roussos_2024/variant_figures/roussos_2024.childhood.GLU/rs55830548_count_position.png",4,220,900)</f>
        <v/>
      </c>
      <c r="T3423">
        <f>IMAGE("https://mitra.stanford.edu/kundaje/oak/projects/neuro-variants/variant_position/credible/roussos_2024/variant_figures/roussos_2024.childhood.GLU/rs55830548_profile_position.png",4,220,900)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-0.0630466754</v>
      </c>
      <c r="G3424" t="n">
        <v>0.1278006274859449</v>
      </c>
      <c r="H3424" t="n">
        <v>0.0297958761160699</v>
      </c>
      <c r="I3424" t="n">
        <v>0.0214899228148384</v>
      </c>
      <c r="J3424" t="n">
        <v>0.1194206063852802</v>
      </c>
      <c r="K3424" t="n">
        <v>0.2181639629705988</v>
      </c>
      <c r="L3424" t="b">
        <v>0</v>
      </c>
      <c r="M3424" t="b">
        <v>0</v>
      </c>
      <c r="N3424" t="inlineStr">
        <is>
          <t>ref</t>
        </is>
      </c>
      <c r="O3424" t="n">
        <v>30</v>
      </c>
      <c r="P3424" t="n">
        <v>0.001892</v>
      </c>
      <c r="Q3424" t="n">
        <v>40</v>
      </c>
      <c r="R3424" t="n">
        <v>0.1631</v>
      </c>
      <c r="S3424">
        <f>IMAGE("https://mitra.stanford.edu/kundaje/oak/projects/neuro-variants/variant_position/credible/roussos_2024/variant_figures/roussos_2024.childhood.GLU/rs55829928_count_position.png",4,220,900)</f>
        <v/>
      </c>
      <c r="T3424">
        <f>IMAGE("https://mitra.stanford.edu/kundaje/oak/projects/neuro-variants/variant_position/credible/roussos_2024/variant_figures/roussos_2024.childhood.GLU/rs55829928_profile_position.png",4,220,900)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0.02574809202</v>
      </c>
      <c r="G3425" t="n">
        <v>0.37767486734316</v>
      </c>
      <c r="H3425" t="n">
        <v>0.0108617821709404</v>
      </c>
      <c r="I3425" t="n">
        <v>0.5720617959494008</v>
      </c>
      <c r="J3425" t="n">
        <v>0.0212502704317635</v>
      </c>
      <c r="K3425" t="n">
        <v>0.4800007200772976</v>
      </c>
      <c r="L3425" t="b">
        <v>0</v>
      </c>
      <c r="M3425" t="b">
        <v>0</v>
      </c>
      <c r="N3425" t="inlineStr">
        <is>
          <t>alt</t>
        </is>
      </c>
      <c r="O3425" t="n">
        <v>-100</v>
      </c>
      <c r="P3425" t="n">
        <v>0.00941</v>
      </c>
      <c r="Q3425" t="n">
        <v>-90</v>
      </c>
      <c r="R3425" t="n">
        <v>0.0104</v>
      </c>
      <c r="S3425">
        <f>IMAGE("https://mitra.stanford.edu/kundaje/oak/projects/neuro-variants/variant_position/credible/roussos_2024/variant_figures/roussos_2024.childhood.GLU/rs72799198_count_position.png",4,220,900)</f>
        <v/>
      </c>
      <c r="T3425">
        <f>IMAGE("https://mitra.stanford.edu/kundaje/oak/projects/neuro-variants/variant_position/credible/roussos_2024/variant_figures/roussos_2024.childhood.GLU/rs72799198_profile_position.png",4,220,900)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-0.073428442</v>
      </c>
      <c r="G3426" t="n">
        <v>0.1014604037990282</v>
      </c>
      <c r="H3426" t="n">
        <v>0.0207289309496273</v>
      </c>
      <c r="I3426" t="n">
        <v>0.0903171994814933</v>
      </c>
      <c r="J3426" t="n">
        <v>0.0097777823565166</v>
      </c>
      <c r="K3426" t="n">
        <v>0.5898008488748848</v>
      </c>
      <c r="L3426" t="b">
        <v>0</v>
      </c>
      <c r="M3426" t="b">
        <v>0</v>
      </c>
      <c r="N3426" t="inlineStr">
        <is>
          <t>ref</t>
        </is>
      </c>
      <c r="O3426" t="n">
        <v>30</v>
      </c>
      <c r="P3426" t="n">
        <v>0.004593</v>
      </c>
      <c r="Q3426" t="n">
        <v>-95</v>
      </c>
      <c r="R3426" t="n">
        <v>0.1395</v>
      </c>
      <c r="S3426">
        <f>IMAGE("https://mitra.stanford.edu/kundaje/oak/projects/neuro-variants/variant_position/credible/roussos_2024/variant_figures/roussos_2024.childhood.GLU/rs72799201_count_position.png",4,220,900)</f>
        <v/>
      </c>
      <c r="T3426">
        <f>IMAGE("https://mitra.stanford.edu/kundaje/oak/projects/neuro-variants/variant_position/credible/roussos_2024/variant_figures/roussos_2024.childhood.GLU/rs72799201_profile_position.png",4,220,900)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-0.0035565486459999</v>
      </c>
      <c r="G3427" t="n">
        <v>0.7432215009227602</v>
      </c>
      <c r="H3427" t="n">
        <v>0.0231435175570066</v>
      </c>
      <c r="I3427" t="n">
        <v>0.0588663563061451</v>
      </c>
      <c r="J3427" t="n">
        <v>0.2564445177042661</v>
      </c>
      <c r="K3427" t="n">
        <v>0.1177516652061692</v>
      </c>
      <c r="L3427" t="b">
        <v>0</v>
      </c>
      <c r="M3427" t="b">
        <v>0</v>
      </c>
      <c r="N3427" t="inlineStr">
        <is>
          <t>ref</t>
        </is>
      </c>
      <c r="O3427" t="n">
        <v>95</v>
      </c>
      <c r="P3427" t="n">
        <v>0.005463</v>
      </c>
      <c r="Q3427" t="n">
        <v>-15</v>
      </c>
      <c r="R3427" t="n">
        <v>0.03296</v>
      </c>
      <c r="S3427">
        <f>IMAGE("https://mitra.stanford.edu/kundaje/oak/projects/neuro-variants/variant_position/credible/roussos_2024/variant_figures/roussos_2024.childhood.GLU/rs115283145_count_position.png",4,220,900)</f>
        <v/>
      </c>
      <c r="T3427">
        <f>IMAGE("https://mitra.stanford.edu/kundaje/oak/projects/neuro-variants/variant_position/credible/roussos_2024/variant_figures/roussos_2024.childhood.GLU/rs115283145_profile_position.png",4,220,900)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0.115719422</v>
      </c>
      <c r="G3428" t="n">
        <v>0.0320506919539308</v>
      </c>
      <c r="H3428" t="n">
        <v>0.0211838977448444</v>
      </c>
      <c r="I3428" t="n">
        <v>0.0811771674987822</v>
      </c>
      <c r="J3428" t="n">
        <v>0.0159601100270946</v>
      </c>
      <c r="K3428" t="n">
        <v>0.5388078502116678</v>
      </c>
      <c r="L3428" t="b">
        <v>0</v>
      </c>
      <c r="M3428" t="b">
        <v>0</v>
      </c>
      <c r="N3428" t="inlineStr">
        <is>
          <t>alt</t>
        </is>
      </c>
      <c r="O3428" t="n">
        <v>100</v>
      </c>
      <c r="P3428" t="n">
        <v>0.03796</v>
      </c>
      <c r="Q3428" t="n">
        <v>15</v>
      </c>
      <c r="R3428" t="n">
        <v>0.03345</v>
      </c>
      <c r="S3428">
        <f>IMAGE("https://mitra.stanford.edu/kundaje/oak/projects/neuro-variants/variant_position/credible/roussos_2024/variant_figures/roussos_2024.childhood.GLU/rs72802883_count_position.png",4,220,900)</f>
        <v/>
      </c>
      <c r="T3428">
        <f>IMAGE("https://mitra.stanford.edu/kundaje/oak/projects/neuro-variants/variant_position/credible/roussos_2024/variant_figures/roussos_2024.childhood.GLU/rs72802883_profile_position.png",4,220,900)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-0.0474609178</v>
      </c>
      <c r="G3429" t="n">
        <v>0.1985485914169196</v>
      </c>
      <c r="H3429" t="n">
        <v>0.011917964208648</v>
      </c>
      <c r="I3429" t="n">
        <v>0.4591667773897874</v>
      </c>
      <c r="J3429" t="n">
        <v>0.0992293982506928</v>
      </c>
      <c r="K3429" t="n">
        <v>0.2454492458447435</v>
      </c>
      <c r="L3429" t="b">
        <v>0</v>
      </c>
      <c r="M3429" t="b">
        <v>0</v>
      </c>
      <c r="N3429" t="inlineStr">
        <is>
          <t>ref</t>
        </is>
      </c>
      <c r="O3429" t="n">
        <v>100</v>
      </c>
      <c r="P3429" t="n">
        <v>0.04248</v>
      </c>
      <c r="Q3429" t="n">
        <v>-40</v>
      </c>
      <c r="R3429" t="n">
        <v>0.08203000000000001</v>
      </c>
      <c r="S3429">
        <f>IMAGE("https://mitra.stanford.edu/kundaje/oak/projects/neuro-variants/variant_position/credible/roussos_2024/variant_figures/roussos_2024.childhood.GLU/rs12153071_count_position.png",4,220,900)</f>
        <v/>
      </c>
      <c r="T3429">
        <f>IMAGE("https://mitra.stanford.edu/kundaje/oak/projects/neuro-variants/variant_position/credible/roussos_2024/variant_figures/roussos_2024.childhood.GLU/rs12153071_profile_position.png",4,220,900)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0.0714891196</v>
      </c>
      <c r="G3430" t="n">
        <v>0.1056660618119496</v>
      </c>
      <c r="H3430" t="n">
        <v>0.016727332852811</v>
      </c>
      <c r="I3430" t="n">
        <v>0.183812870585299</v>
      </c>
      <c r="J3430" t="n">
        <v>0.0021284267567762</v>
      </c>
      <c r="K3430" t="n">
        <v>0.7650130215188126</v>
      </c>
      <c r="L3430" t="b">
        <v>0</v>
      </c>
      <c r="M3430" t="b">
        <v>0</v>
      </c>
      <c r="N3430" t="inlineStr">
        <is>
          <t>alt</t>
        </is>
      </c>
      <c r="O3430" t="n">
        <v>-75</v>
      </c>
      <c r="P3430" t="n">
        <v>0.01209</v>
      </c>
      <c r="Q3430" t="n">
        <v>-45</v>
      </c>
      <c r="R3430" t="n">
        <v>0.05176</v>
      </c>
      <c r="S3430">
        <f>IMAGE("https://mitra.stanford.edu/kundaje/oak/projects/neuro-variants/variant_position/credible/roussos_2024/variant_figures/roussos_2024.childhood.GLU/rs4958587_count_position.png",4,220,900)</f>
        <v/>
      </c>
      <c r="T3430">
        <f>IMAGE("https://mitra.stanford.edu/kundaje/oak/projects/neuro-variants/variant_position/credible/roussos_2024/variant_figures/roussos_2024.childhood.GLU/rs4958587_profile_position.png",4,220,900)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-0.01777450468</v>
      </c>
      <c r="G3431" t="n">
        <v>0.5029548419609285</v>
      </c>
      <c r="H3431" t="n">
        <v>0.0239643457243808</v>
      </c>
      <c r="I3431" t="n">
        <v>0.0507858213074904</v>
      </c>
      <c r="J3431" t="n">
        <v>0.0309600585162825</v>
      </c>
      <c r="K3431" t="n">
        <v>0.4235677765017483</v>
      </c>
      <c r="L3431" t="b">
        <v>0</v>
      </c>
      <c r="M3431" t="b">
        <v>0</v>
      </c>
      <c r="N3431" t="inlineStr">
        <is>
          <t>ref</t>
        </is>
      </c>
      <c r="O3431" t="n">
        <v>100</v>
      </c>
      <c r="P3431" t="n">
        <v>0.006844</v>
      </c>
      <c r="Q3431" t="n">
        <v>70</v>
      </c>
      <c r="R3431" t="n">
        <v>0.05414</v>
      </c>
      <c r="S3431">
        <f>IMAGE("https://mitra.stanford.edu/kundaje/oak/projects/neuro-variants/variant_position/credible/roussos_2024/variant_figures/roussos_2024.childhood.GLU/rs72802890_count_position.png",4,220,900)</f>
        <v/>
      </c>
      <c r="T3431">
        <f>IMAGE("https://mitra.stanford.edu/kundaje/oak/projects/neuro-variants/variant_position/credible/roussos_2024/variant_figures/roussos_2024.childhood.GLU/rs72802890_profile_position.png",4,220,900)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0.00417044162</v>
      </c>
      <c r="G3432" t="n">
        <v>0.681623123128543</v>
      </c>
      <c r="H3432" t="n">
        <v>0.0099028110804926</v>
      </c>
      <c r="I3432" t="n">
        <v>0.6523712737754438</v>
      </c>
      <c r="J3432" t="n">
        <v>0.007526759866896</v>
      </c>
      <c r="K3432" t="n">
        <v>0.6294884765116228</v>
      </c>
      <c r="L3432" t="b">
        <v>0</v>
      </c>
      <c r="M3432" t="b">
        <v>0</v>
      </c>
      <c r="N3432" t="inlineStr">
        <is>
          <t>alt</t>
        </is>
      </c>
      <c r="O3432" t="n">
        <v>0</v>
      </c>
      <c r="P3432" t="n">
        <v>0</v>
      </c>
      <c r="Q3432" t="n">
        <v>45</v>
      </c>
      <c r="R3432" t="n">
        <v>0.1334</v>
      </c>
      <c r="S3432">
        <f>IMAGE("https://mitra.stanford.edu/kundaje/oak/projects/neuro-variants/variant_position/credible/roussos_2024/variant_figures/roussos_2024.childhood.GLU/rs72802893_count_position.png",4,220,900)</f>
        <v/>
      </c>
      <c r="T3432">
        <f>IMAGE("https://mitra.stanford.edu/kundaje/oak/projects/neuro-variants/variant_position/credible/roussos_2024/variant_figures/roussos_2024.childhood.GLU/rs72802893_profile_position.png",4,220,900)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0.00396546586</v>
      </c>
      <c r="G3433" t="n">
        <v>0.7557997460556716</v>
      </c>
      <c r="H3433" t="n">
        <v>0.0073192172028904</v>
      </c>
      <c r="I3433" t="n">
        <v>0.9333310535671202</v>
      </c>
      <c r="J3433" t="n">
        <v>0.0032688761371011</v>
      </c>
      <c r="K3433" t="n">
        <v>0.7283656674248714</v>
      </c>
      <c r="L3433" t="b">
        <v>0</v>
      </c>
      <c r="M3433" t="b">
        <v>0</v>
      </c>
      <c r="N3433" t="inlineStr">
        <is>
          <t>alt</t>
        </is>
      </c>
      <c r="O3433" t="n">
        <v>-10</v>
      </c>
      <c r="P3433" t="n">
        <v>0.00168</v>
      </c>
      <c r="Q3433" t="n">
        <v>40</v>
      </c>
      <c r="R3433" t="n">
        <v>0.06419999999999999</v>
      </c>
      <c r="S3433">
        <f>IMAGE("https://mitra.stanford.edu/kundaje/oak/projects/neuro-variants/variant_position/credible/roussos_2024/variant_figures/roussos_2024.childhood.GLU/rs9324737_count_position.png",4,220,900)</f>
        <v/>
      </c>
      <c r="T3433">
        <f>IMAGE("https://mitra.stanford.edu/kundaje/oak/projects/neuro-variants/variant_position/credible/roussos_2024/variant_figures/roussos_2024.childhood.GLU/rs9324737_profile_position.png",4,220,900)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0.07812497339999989</v>
      </c>
      <c r="G3434" t="n">
        <v>0.08766945523249629</v>
      </c>
      <c r="H3434" t="n">
        <v>0.0250827679656449</v>
      </c>
      <c r="I3434" t="n">
        <v>0.0424845719513303</v>
      </c>
      <c r="J3434" t="n">
        <v>0.001831724478968</v>
      </c>
      <c r="K3434" t="n">
        <v>0.7906326288610926</v>
      </c>
      <c r="L3434" t="b">
        <v>0</v>
      </c>
      <c r="M3434" t="b">
        <v>0</v>
      </c>
      <c r="N3434" t="inlineStr">
        <is>
          <t>alt</t>
        </is>
      </c>
      <c r="O3434" t="n">
        <v>100</v>
      </c>
      <c r="P3434" t="n">
        <v>0.04166</v>
      </c>
      <c r="Q3434" t="n">
        <v>-80</v>
      </c>
      <c r="R3434" t="n">
        <v>0.09520000000000001</v>
      </c>
      <c r="S3434">
        <f>IMAGE("https://mitra.stanford.edu/kundaje/oak/projects/neuro-variants/variant_position/credible/roussos_2024/variant_figures/roussos_2024.childhood.GLU/rs11167604_count_position.png",4,220,900)</f>
        <v/>
      </c>
      <c r="T3434">
        <f>IMAGE("https://mitra.stanford.edu/kundaje/oak/projects/neuro-variants/variant_position/credible/roussos_2024/variant_figures/roussos_2024.childhood.GLU/rs11167604_profile_position.png",4,220,900)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-0.06980543239999989</v>
      </c>
      <c r="G3435" t="n">
        <v>0.0999117339905254</v>
      </c>
      <c r="H3435" t="n">
        <v>0.0289830776615879</v>
      </c>
      <c r="I3435" t="n">
        <v>0.0247920990020705</v>
      </c>
      <c r="J3435" t="n">
        <v>0.1177815323436388</v>
      </c>
      <c r="K3435" t="n">
        <v>0.2239913260434076</v>
      </c>
      <c r="L3435" t="b">
        <v>0</v>
      </c>
      <c r="M3435" t="b">
        <v>0</v>
      </c>
      <c r="N3435" t="inlineStr">
        <is>
          <t>ref</t>
        </is>
      </c>
      <c r="O3435" t="n">
        <v>-30</v>
      </c>
      <c r="P3435" t="n">
        <v>0.0009155</v>
      </c>
      <c r="Q3435" t="n">
        <v>-20</v>
      </c>
      <c r="R3435" t="n">
        <v>0.0338</v>
      </c>
      <c r="S3435">
        <f>IMAGE("https://mitra.stanford.edu/kundaje/oak/projects/neuro-variants/variant_position/credible/roussos_2024/variant_figures/roussos_2024.childhood.GLU/rs4463219_count_position.png",4,220,900)</f>
        <v/>
      </c>
      <c r="T3435">
        <f>IMAGE("https://mitra.stanford.edu/kundaje/oak/projects/neuro-variants/variant_position/credible/roussos_2024/variant_figures/roussos_2024.childhood.GLU/rs4463219_profile_position.png",4,220,900)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-0.0036935596</v>
      </c>
      <c r="G3436" t="n">
        <v>0.5981478941683146</v>
      </c>
      <c r="H3436" t="n">
        <v>0.008563341787389</v>
      </c>
      <c r="I3436" t="n">
        <v>0.8263600356959945</v>
      </c>
      <c r="J3436" t="n">
        <v>0.1672978458178371</v>
      </c>
      <c r="K3436" t="n">
        <v>0.1721891602554554</v>
      </c>
      <c r="L3436" t="b">
        <v>0</v>
      </c>
      <c r="M3436" t="b">
        <v>0</v>
      </c>
      <c r="N3436" t="inlineStr">
        <is>
          <t>ref</t>
        </is>
      </c>
      <c r="O3436" t="n">
        <v>-100</v>
      </c>
      <c r="P3436" t="n">
        <v>0.02942</v>
      </c>
      <c r="Q3436" t="n">
        <v>-95</v>
      </c>
      <c r="R3436" t="n">
        <v>0.1779</v>
      </c>
      <c r="S3436">
        <f>IMAGE("https://mitra.stanford.edu/kundaje/oak/projects/neuro-variants/variant_position/credible/roussos_2024/variant_figures/roussos_2024.childhood.GLU/rs72804778_count_position.png",4,220,900)</f>
        <v/>
      </c>
      <c r="T3436">
        <f>IMAGE("https://mitra.stanford.edu/kundaje/oak/projects/neuro-variants/variant_position/credible/roussos_2024/variant_figures/roussos_2024.childhood.GLU/rs72804778_profile_position.png",4,220,900)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0.0362345267999999</v>
      </c>
      <c r="G3437" t="n">
        <v>0.2672367487516809</v>
      </c>
      <c r="H3437" t="n">
        <v>0.0207433140980095</v>
      </c>
      <c r="I3437" t="n">
        <v>0.0861480940244026</v>
      </c>
      <c r="J3437" t="n">
        <v>0.0835309631491649</v>
      </c>
      <c r="K3437" t="n">
        <v>0.2730218633096976</v>
      </c>
      <c r="L3437" t="b">
        <v>0</v>
      </c>
      <c r="M3437" t="b">
        <v>0</v>
      </c>
      <c r="N3437" t="inlineStr">
        <is>
          <t>alt</t>
        </is>
      </c>
      <c r="O3437" t="n">
        <v>20</v>
      </c>
      <c r="P3437" t="n">
        <v>0.000977</v>
      </c>
      <c r="Q3437" t="n">
        <v>-45</v>
      </c>
      <c r="R3437" t="n">
        <v>0.1262</v>
      </c>
      <c r="S3437">
        <f>IMAGE("https://mitra.stanford.edu/kundaje/oak/projects/neuro-variants/variant_position/credible/roussos_2024/variant_figures/roussos_2024.childhood.GLU/rs72804781_count_position.png",4,220,900)</f>
        <v/>
      </c>
      <c r="T3437">
        <f>IMAGE("https://mitra.stanford.edu/kundaje/oak/projects/neuro-variants/variant_position/credible/roussos_2024/variant_figures/roussos_2024.childhood.GLU/rs72804781_profile_position.png",4,220,900)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0.01160059492</v>
      </c>
      <c r="G3438" t="n">
        <v>0.6066650652501501</v>
      </c>
      <c r="H3438" t="n">
        <v>0.007630672414171</v>
      </c>
      <c r="I3438" t="n">
        <v>0.9094128133653891</v>
      </c>
      <c r="J3438" t="n">
        <v>0.0027290428260891</v>
      </c>
      <c r="K3438" t="n">
        <v>0.7382356421955256</v>
      </c>
      <c r="L3438" t="b">
        <v>0</v>
      </c>
      <c r="M3438" t="b">
        <v>0</v>
      </c>
      <c r="N3438" t="inlineStr">
        <is>
          <t>alt</t>
        </is>
      </c>
      <c r="O3438" t="n">
        <v>95</v>
      </c>
      <c r="P3438" t="n">
        <v>0.006886</v>
      </c>
      <c r="Q3438" t="n">
        <v>55</v>
      </c>
      <c r="R3438" t="n">
        <v>0.05984</v>
      </c>
      <c r="S3438">
        <f>IMAGE("https://mitra.stanford.edu/kundaje/oak/projects/neuro-variants/variant_position/credible/roussos_2024/variant_figures/roussos_2024.childhood.GLU/rs116618941_count_position.png",4,220,900)</f>
        <v/>
      </c>
      <c r="T3438">
        <f>IMAGE("https://mitra.stanford.edu/kundaje/oak/projects/neuro-variants/variant_position/credible/roussos_2024/variant_figures/roussos_2024.childhood.GLU/rs116618941_profile_position.png",4,220,900)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-0.1119122589999999</v>
      </c>
      <c r="G3439" t="n">
        <v>0.0363062917105507</v>
      </c>
      <c r="H3439" t="n">
        <v>0.0184106773762202</v>
      </c>
      <c r="I3439" t="n">
        <v>0.1298481304020263</v>
      </c>
      <c r="J3439" t="n">
        <v>0.1130167822225885</v>
      </c>
      <c r="K3439" t="n">
        <v>0.22705624678821</v>
      </c>
      <c r="L3439" t="b">
        <v>0</v>
      </c>
      <c r="M3439" t="b">
        <v>0</v>
      </c>
      <c r="N3439" t="inlineStr">
        <is>
          <t>ref</t>
        </is>
      </c>
      <c r="O3439" t="n">
        <v>5</v>
      </c>
      <c r="P3439" t="n">
        <v>5.6e-05</v>
      </c>
      <c r="Q3439" t="n">
        <v>-10</v>
      </c>
      <c r="R3439" t="n">
        <v>0.03442</v>
      </c>
      <c r="S3439">
        <f>IMAGE("https://mitra.stanford.edu/kundaje/oak/projects/neuro-variants/variant_position/credible/roussos_2024/variant_figures/roussos_2024.childhood.GLU/rs72804789_count_position.png",4,220,900)</f>
        <v/>
      </c>
      <c r="T3439">
        <f>IMAGE("https://mitra.stanford.edu/kundaje/oak/projects/neuro-variants/variant_position/credible/roussos_2024/variant_figures/roussos_2024.childhood.GLU/rs72804789_profile_position.png",4,220,900)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-0.01536922534</v>
      </c>
      <c r="G3440" t="n">
        <v>0.4992830618510801</v>
      </c>
      <c r="H3440" t="n">
        <v>0.02976632028346</v>
      </c>
      <c r="I3440" t="n">
        <v>0.0246001410276848</v>
      </c>
      <c r="J3440" t="n">
        <v>0.270155665674225</v>
      </c>
      <c r="K3440" t="n">
        <v>0.1099250718044078</v>
      </c>
      <c r="L3440" t="b">
        <v>0</v>
      </c>
      <c r="M3440" t="b">
        <v>0</v>
      </c>
      <c r="N3440" t="inlineStr">
        <is>
          <t>ref</t>
        </is>
      </c>
      <c r="O3440" t="n">
        <v>85</v>
      </c>
      <c r="P3440" t="n">
        <v>0.0415</v>
      </c>
      <c r="Q3440" t="n">
        <v>100</v>
      </c>
      <c r="R3440" t="n">
        <v>0.0786</v>
      </c>
      <c r="S3440">
        <f>IMAGE("https://mitra.stanford.edu/kundaje/oak/projects/neuro-variants/variant_position/credible/roussos_2024/variant_figures/roussos_2024.childhood.GLU/rs184754715_count_position.png",4,220,900)</f>
        <v/>
      </c>
      <c r="T3440">
        <f>IMAGE("https://mitra.stanford.edu/kundaje/oak/projects/neuro-variants/variant_position/credible/roussos_2024/variant_figures/roussos_2024.childhood.GLU/rs184754715_profile_position.png",4,220,900)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-0.0033346789199999</v>
      </c>
      <c r="G3441" t="n">
        <v>0.4490150862512354</v>
      </c>
      <c r="H3441" t="n">
        <v>0.0175489266099072</v>
      </c>
      <c r="I3441" t="n">
        <v>0.1504907377375039</v>
      </c>
      <c r="J3441" t="n">
        <v>0.0173828386578342</v>
      </c>
      <c r="K3441" t="n">
        <v>0.515778173891182</v>
      </c>
      <c r="L3441" t="b">
        <v>0</v>
      </c>
      <c r="M3441" t="b">
        <v>0</v>
      </c>
      <c r="N3441" t="inlineStr">
        <is>
          <t>ref</t>
        </is>
      </c>
      <c r="O3441" t="n">
        <v>-65</v>
      </c>
      <c r="P3441" t="n">
        <v>0.0225</v>
      </c>
      <c r="Q3441" t="n">
        <v>-70</v>
      </c>
      <c r="R3441" t="n">
        <v>0.07837</v>
      </c>
      <c r="S3441">
        <f>IMAGE("https://mitra.stanford.edu/kundaje/oak/projects/neuro-variants/variant_position/credible/roussos_2024/variant_figures/roussos_2024.childhood.GLU/rs75040818_count_position.png",4,220,900)</f>
        <v/>
      </c>
      <c r="T3441">
        <f>IMAGE("https://mitra.stanford.edu/kundaje/oak/projects/neuro-variants/variant_position/credible/roussos_2024/variant_figures/roussos_2024.childhood.GLU/rs75040818_profile_position.png",4,220,900)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-0.103311784</v>
      </c>
      <c r="G3442" t="n">
        <v>0.041486717869332</v>
      </c>
      <c r="H3442" t="n">
        <v>0.0156096326402118</v>
      </c>
      <c r="I3442" t="n">
        <v>0.2233860096430497</v>
      </c>
      <c r="J3442" t="n">
        <v>0.4326372505588923</v>
      </c>
      <c r="K3442" t="n">
        <v>0.0564389139806151</v>
      </c>
      <c r="L3442" t="b">
        <v>0</v>
      </c>
      <c r="M3442" t="b">
        <v>0</v>
      </c>
      <c r="N3442" t="inlineStr">
        <is>
          <t>ref</t>
        </is>
      </c>
      <c r="O3442" t="n">
        <v>100</v>
      </c>
      <c r="P3442" t="n">
        <v>0.0117</v>
      </c>
      <c r="Q3442" t="n">
        <v>65</v>
      </c>
      <c r="R3442" t="n">
        <v>0.1333</v>
      </c>
      <c r="S3442">
        <f>IMAGE("https://mitra.stanford.edu/kundaje/oak/projects/neuro-variants/variant_position/credible/roussos_2024/variant_figures/roussos_2024.childhood.GLU/rs73802032_count_position.png",4,220,900)</f>
        <v/>
      </c>
      <c r="T3442">
        <f>IMAGE("https://mitra.stanford.edu/kundaje/oak/projects/neuro-variants/variant_position/credible/roussos_2024/variant_figures/roussos_2024.childhood.GLU/rs73802032_profile_position.png",4,220,900)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-0.00157452896</v>
      </c>
      <c r="G3443" t="n">
        <v>0.7670392318399841</v>
      </c>
      <c r="H3443" t="n">
        <v>0.027804695569397</v>
      </c>
      <c r="I3443" t="n">
        <v>0.0285127121563546</v>
      </c>
      <c r="J3443" t="n">
        <v>0.07571677295064221</v>
      </c>
      <c r="K3443" t="n">
        <v>0.2896558894326996</v>
      </c>
      <c r="L3443" t="b">
        <v>0</v>
      </c>
      <c r="M3443" t="b">
        <v>0</v>
      </c>
      <c r="N3443" t="inlineStr">
        <is>
          <t>ref</t>
        </is>
      </c>
      <c r="O3443" t="n">
        <v>-95</v>
      </c>
      <c r="P3443" t="n">
        <v>0.01401</v>
      </c>
      <c r="Q3443" t="n">
        <v>90</v>
      </c>
      <c r="R3443" t="n">
        <v>0.2477</v>
      </c>
      <c r="S3443">
        <f>IMAGE("https://mitra.stanford.edu/kundaje/oak/projects/neuro-variants/variant_position/credible/roussos_2024/variant_figures/roussos_2024.childhood.GLU/rs6868545_count_position.png",4,220,900)</f>
        <v/>
      </c>
      <c r="T3443">
        <f>IMAGE("https://mitra.stanford.edu/kundaje/oak/projects/neuro-variants/variant_position/credible/roussos_2024/variant_figures/roussos_2024.childhood.GLU/rs6868545_profile_position.png",4,220,900)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-0.0468458556</v>
      </c>
      <c r="G3444" t="n">
        <v>0.2169317455822179</v>
      </c>
      <c r="H3444" t="n">
        <v>0.0116898357083662</v>
      </c>
      <c r="I3444" t="n">
        <v>0.4734550064173046</v>
      </c>
      <c r="J3444" t="n">
        <v>0.1280435163340784</v>
      </c>
      <c r="K3444" t="n">
        <v>0.2107803305500038</v>
      </c>
      <c r="L3444" t="b">
        <v>0</v>
      </c>
      <c r="M3444" t="b">
        <v>0</v>
      </c>
      <c r="N3444" t="inlineStr">
        <is>
          <t>ref</t>
        </is>
      </c>
      <c r="O3444" t="n">
        <v>-20</v>
      </c>
      <c r="P3444" t="n">
        <v>0.000511</v>
      </c>
      <c r="Q3444" t="n">
        <v>90</v>
      </c>
      <c r="R3444" t="n">
        <v>0.0769</v>
      </c>
      <c r="S3444">
        <f>IMAGE("https://mitra.stanford.edu/kundaje/oak/projects/neuro-variants/variant_position/credible/roussos_2024/variant_figures/roussos_2024.childhood.GLU/rs2118792_count_position.png",4,220,900)</f>
        <v/>
      </c>
      <c r="T3444">
        <f>IMAGE("https://mitra.stanford.edu/kundaje/oak/projects/neuro-variants/variant_position/credible/roussos_2024/variant_figures/roussos_2024.childhood.GLU/rs2118792_profile_position.png",4,220,900)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0.2081423619999999</v>
      </c>
      <c r="G3445" t="n">
        <v>0.0067577102002094</v>
      </c>
      <c r="H3445" t="n">
        <v>0.0374800478168481</v>
      </c>
      <c r="I3445" t="n">
        <v>0.0085153189743742</v>
      </c>
      <c r="J3445" t="n">
        <v>0.2744310630801404</v>
      </c>
      <c r="K3445" t="n">
        <v>0.1076969243660208</v>
      </c>
      <c r="L3445" t="b">
        <v>1</v>
      </c>
      <c r="M3445" t="b">
        <v>1</v>
      </c>
      <c r="N3445" t="inlineStr">
        <is>
          <t>alt</t>
        </is>
      </c>
      <c r="O3445" t="n">
        <v>20</v>
      </c>
      <c r="P3445" t="n">
        <v>0.0003982</v>
      </c>
      <c r="Q3445" t="n">
        <v>65</v>
      </c>
      <c r="R3445" t="n">
        <v>0.03906</v>
      </c>
      <c r="S3445">
        <f>IMAGE("https://mitra.stanford.edu/kundaje/oak/projects/neuro-variants/variant_position/credible/roussos_2024/variant_figures/roussos_2024.childhood.GLU/rs2962809_count_position.png",4,220,900)</f>
        <v/>
      </c>
      <c r="T3445">
        <f>IMAGE("https://mitra.stanford.edu/kundaje/oak/projects/neuro-variants/variant_position/credible/roussos_2024/variant_figures/roussos_2024.childhood.GLU/rs2962809_profile_position.png",4,220,900)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-0.201563258</v>
      </c>
      <c r="G3446" t="n">
        <v>0.0077996499826442</v>
      </c>
      <c r="H3446" t="n">
        <v>0.0305929602422017</v>
      </c>
      <c r="I3446" t="n">
        <v>0.026075743723245</v>
      </c>
      <c r="J3446" t="n">
        <v>0.0024313103320386</v>
      </c>
      <c r="K3446" t="n">
        <v>0.7697187868206564</v>
      </c>
      <c r="L3446" t="b">
        <v>1</v>
      </c>
      <c r="M3446" t="b">
        <v>1</v>
      </c>
      <c r="N3446" t="inlineStr">
        <is>
          <t>ref</t>
        </is>
      </c>
      <c r="O3446" t="n">
        <v>-90</v>
      </c>
      <c r="P3446" t="n">
        <v>0.0074</v>
      </c>
      <c r="Q3446" t="n">
        <v>-95</v>
      </c>
      <c r="R3446" t="n">
        <v>0.08344</v>
      </c>
      <c r="S3446">
        <f>IMAGE("https://mitra.stanford.edu/kundaje/oak/projects/neuro-variants/variant_position/credible/roussos_2024/variant_figures/roussos_2024.childhood.GLU/rs2973157_count_position.png",4,220,900)</f>
        <v/>
      </c>
      <c r="T3446">
        <f>IMAGE("https://mitra.stanford.edu/kundaje/oak/projects/neuro-variants/variant_position/credible/roussos_2024/variant_figures/roussos_2024.childhood.GLU/rs2973157_profile_position.png",4,220,900)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0.0387729063999999</v>
      </c>
      <c r="G3447" t="n">
        <v>0.257234953538055</v>
      </c>
      <c r="H3447" t="n">
        <v>0.0183262881463719</v>
      </c>
      <c r="I3447" t="n">
        <v>0.1325138321157368</v>
      </c>
      <c r="J3447" t="n">
        <v>0.0308209793235599</v>
      </c>
      <c r="K3447" t="n">
        <v>0.4233416487282462</v>
      </c>
      <c r="L3447" t="b">
        <v>0</v>
      </c>
      <c r="M3447" t="b">
        <v>0</v>
      </c>
      <c r="N3447" t="inlineStr">
        <is>
          <t>alt</t>
        </is>
      </c>
      <c r="O3447" t="n">
        <v>-45</v>
      </c>
      <c r="P3447" t="n">
        <v>0.0095</v>
      </c>
      <c r="Q3447" t="n">
        <v>65</v>
      </c>
      <c r="R3447" t="n">
        <v>0.06158</v>
      </c>
      <c r="S3447">
        <f>IMAGE("https://mitra.stanford.edu/kundaje/oak/projects/neuro-variants/variant_position/credible/roussos_2024/variant_figures/roussos_2024.childhood.GLU/rs2910030_count_position.png",4,220,900)</f>
        <v/>
      </c>
      <c r="T3447">
        <f>IMAGE("https://mitra.stanford.edu/kundaje/oak/projects/neuro-variants/variant_position/credible/roussos_2024/variant_figures/roussos_2024.childhood.GLU/rs2910030_profile_position.png",4,220,900)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-0.0428043887999999</v>
      </c>
      <c r="G3448" t="n">
        <v>0.224203472827658</v>
      </c>
      <c r="H3448" t="n">
        <v>0.0124256886609236</v>
      </c>
      <c r="I3448" t="n">
        <v>0.4163209739460929</v>
      </c>
      <c r="J3448" t="n">
        <v>0.0195256884420039</v>
      </c>
      <c r="K3448" t="n">
        <v>0.4977372126054092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0.01223</v>
      </c>
      <c r="Q3448" t="n">
        <v>70</v>
      </c>
      <c r="R3448" t="n">
        <v>0.04346</v>
      </c>
      <c r="S3448">
        <f>IMAGE("https://mitra.stanford.edu/kundaje/oak/projects/neuro-variants/variant_position/credible/roussos_2024/variant_figures/roussos_2024.childhood.GLU/rs2910032_count_position.png",4,220,900)</f>
        <v/>
      </c>
      <c r="T3448">
        <f>IMAGE("https://mitra.stanford.edu/kundaje/oak/projects/neuro-variants/variant_position/credible/roussos_2024/variant_figures/roussos_2024.childhood.GLU/rs2910032_profile_position.png",4,220,900)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0.1068298729999999</v>
      </c>
      <c r="G3449" t="n">
        <v>0.0429488983777559</v>
      </c>
      <c r="H3449" t="n">
        <v>0.0229510719494449</v>
      </c>
      <c r="I3449" t="n">
        <v>0.06268738304743871</v>
      </c>
      <c r="J3449" t="n">
        <v>0.0408769200655216</v>
      </c>
      <c r="K3449" t="n">
        <v>0.3947086861928991</v>
      </c>
      <c r="L3449" t="b">
        <v>0</v>
      </c>
      <c r="M3449" t="b">
        <v>0</v>
      </c>
      <c r="N3449" t="inlineStr">
        <is>
          <t>alt</t>
        </is>
      </c>
      <c r="O3449" t="n">
        <v>-60</v>
      </c>
      <c r="P3449" t="n">
        <v>0.004333</v>
      </c>
      <c r="Q3449" t="n">
        <v>-90</v>
      </c>
      <c r="R3449" t="n">
        <v>0.07715</v>
      </c>
      <c r="S3449">
        <f>IMAGE("https://mitra.stanford.edu/kundaje/oak/projects/neuro-variants/variant_position/credible/roussos_2024/variant_figures/roussos_2024.childhood.GLU/rs2973138_count_position.png",4,220,900)</f>
        <v/>
      </c>
      <c r="T3449">
        <f>IMAGE("https://mitra.stanford.edu/kundaje/oak/projects/neuro-variants/variant_position/credible/roussos_2024/variant_figures/roussos_2024.childhood.GLU/rs2973138_profile_position.png",4,220,900)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0.0909134648</v>
      </c>
      <c r="G3450" t="n">
        <v>0.0556021999225835</v>
      </c>
      <c r="H3450" t="n">
        <v>0.0165919524636317</v>
      </c>
      <c r="I3450" t="n">
        <v>0.1798790121032944</v>
      </c>
      <c r="J3450" t="n">
        <v>0.0159405359184892</v>
      </c>
      <c r="K3450" t="n">
        <v>0.5366027308749156</v>
      </c>
      <c r="L3450" t="b">
        <v>0</v>
      </c>
      <c r="M3450" t="b">
        <v>0</v>
      </c>
      <c r="N3450" t="inlineStr">
        <is>
          <t>alt</t>
        </is>
      </c>
      <c r="O3450" t="n">
        <v>50</v>
      </c>
      <c r="P3450" t="n">
        <v>0.003536</v>
      </c>
      <c r="Q3450" t="n">
        <v>-100</v>
      </c>
      <c r="R3450" t="n">
        <v>0.0786</v>
      </c>
      <c r="S3450">
        <f>IMAGE("https://mitra.stanford.edu/kundaje/oak/projects/neuro-variants/variant_position/credible/roussos_2024/variant_figures/roussos_2024.childhood.GLU/rs2962826_count_position.png",4,220,900)</f>
        <v/>
      </c>
      <c r="T3450">
        <f>IMAGE("https://mitra.stanford.edu/kundaje/oak/projects/neuro-variants/variant_position/credible/roussos_2024/variant_figures/roussos_2024.childhood.GLU/rs2962826_profile_position.png",4,220,900)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0.0273875408</v>
      </c>
      <c r="G3451" t="n">
        <v>0.3618463524243422</v>
      </c>
      <c r="H3451" t="n">
        <v>0.0332931777941582</v>
      </c>
      <c r="I3451" t="n">
        <v>0.0139193448553324</v>
      </c>
      <c r="J3451" t="n">
        <v>1.133237866628205e-05</v>
      </c>
      <c r="K3451" t="n">
        <v>0.995992004430286</v>
      </c>
      <c r="L3451" t="b">
        <v>0</v>
      </c>
      <c r="M3451" t="b">
        <v>0</v>
      </c>
      <c r="N3451" t="inlineStr">
        <is>
          <t>alt</t>
        </is>
      </c>
      <c r="O3451" t="n">
        <v>-100</v>
      </c>
      <c r="P3451" t="n">
        <v>0.004032</v>
      </c>
      <c r="Q3451" t="n">
        <v>100</v>
      </c>
      <c r="R3451" t="n">
        <v>0.05902</v>
      </c>
      <c r="S3451">
        <f>IMAGE("https://mitra.stanford.edu/kundaje/oak/projects/neuro-variants/variant_position/credible/roussos_2024/variant_figures/roussos_2024.childhood.GLU/rs55827458_count_position.png",4,220,900)</f>
        <v/>
      </c>
      <c r="T3451">
        <f>IMAGE("https://mitra.stanford.edu/kundaje/oak/projects/neuro-variants/variant_position/credible/roussos_2024/variant_figures/roussos_2024.childhood.GLU/rs55827458_profile_position.png",4,220,900)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-0.008204971599999999</v>
      </c>
      <c r="G3452" t="n">
        <v>0.7313039565307969</v>
      </c>
      <c r="H3452" t="n">
        <v>0.0149821196585909</v>
      </c>
      <c r="I3452" t="n">
        <v>0.2486281281113624</v>
      </c>
      <c r="J3452" t="n">
        <v>4.326908218034411e-05</v>
      </c>
      <c r="K3452" t="n">
        <v>0.9663320631085476</v>
      </c>
      <c r="L3452" t="b">
        <v>0</v>
      </c>
      <c r="M3452" t="b">
        <v>0</v>
      </c>
      <c r="N3452" t="inlineStr">
        <is>
          <t>ref</t>
        </is>
      </c>
      <c r="O3452" t="n">
        <v>25</v>
      </c>
      <c r="P3452" t="n">
        <v>0.00537</v>
      </c>
      <c r="Q3452" t="n">
        <v>60</v>
      </c>
      <c r="R3452" t="n">
        <v>0.05646</v>
      </c>
      <c r="S3452">
        <f>IMAGE("https://mitra.stanford.edu/kundaje/oak/projects/neuro-variants/variant_position/credible/roussos_2024/variant_figures/roussos_2024.childhood.GLU/rs7717923_count_position.png",4,220,900)</f>
        <v/>
      </c>
      <c r="T3452">
        <f>IMAGE("https://mitra.stanford.edu/kundaje/oak/projects/neuro-variants/variant_position/credible/roussos_2024/variant_figures/roussos_2024.childhood.GLU/rs7717923_profile_position.png",4,220,900)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-0.284010272</v>
      </c>
      <c r="G3453" t="n">
        <v>0.0026583032970861</v>
      </c>
      <c r="H3453" t="n">
        <v>0.0520912000113852</v>
      </c>
      <c r="I3453" t="n">
        <v>0.0023886576666989</v>
      </c>
      <c r="J3453" t="n">
        <v>0.07472673514170609</v>
      </c>
      <c r="K3453" t="n">
        <v>0.2960539391581119</v>
      </c>
      <c r="L3453" t="b">
        <v>1</v>
      </c>
      <c r="M3453" t="b">
        <v>1</v>
      </c>
      <c r="N3453" t="inlineStr">
        <is>
          <t>ref</t>
        </is>
      </c>
      <c r="O3453" t="n">
        <v>-15</v>
      </c>
      <c r="P3453" t="n">
        <v>0.01477</v>
      </c>
      <c r="Q3453" t="n">
        <v>-15</v>
      </c>
      <c r="R3453" t="n">
        <v>0.03125</v>
      </c>
      <c r="S3453">
        <f>IMAGE("https://mitra.stanford.edu/kundaje/oak/projects/neuro-variants/variant_position/credible/roussos_2024/variant_figures/roussos_2024.childhood.GLU/rs1870861_count_position.png",4,220,900)</f>
        <v/>
      </c>
      <c r="T3453">
        <f>IMAGE("https://mitra.stanford.edu/kundaje/oak/projects/neuro-variants/variant_position/credible/roussos_2024/variant_figures/roussos_2024.childhood.GLU/rs1870861_profile_position.png",4,220,900)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-0.00555129732</v>
      </c>
      <c r="G3454" t="n">
        <v>0.6864389166617088</v>
      </c>
      <c r="H3454" t="n">
        <v>0.0093997745178188</v>
      </c>
      <c r="I3454" t="n">
        <v>0.735222337201807</v>
      </c>
      <c r="J3454" t="n">
        <v>0.0514201530901335</v>
      </c>
      <c r="K3454" t="n">
        <v>0.345453370059652</v>
      </c>
      <c r="L3454" t="b">
        <v>0</v>
      </c>
      <c r="M3454" t="b">
        <v>0</v>
      </c>
      <c r="N3454" t="inlineStr">
        <is>
          <t>ref</t>
        </is>
      </c>
      <c r="O3454" t="n">
        <v>-75</v>
      </c>
      <c r="P3454" t="n">
        <v>0.0081</v>
      </c>
      <c r="Q3454" t="n">
        <v>0</v>
      </c>
      <c r="R3454" t="n">
        <v>0</v>
      </c>
      <c r="S3454">
        <f>IMAGE("https://mitra.stanford.edu/kundaje/oak/projects/neuro-variants/variant_position/credible/roussos_2024/variant_figures/roussos_2024.childhood.GLU/rs1462120_count_position.png",4,220,900)</f>
        <v/>
      </c>
      <c r="T3454">
        <f>IMAGE("https://mitra.stanford.edu/kundaje/oak/projects/neuro-variants/variant_position/credible/roussos_2024/variant_figures/roussos_2024.childhood.GLU/rs1462120_profile_position.png",4,220,900)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-0.00232860466</v>
      </c>
      <c r="G3455" t="n">
        <v>0.7820174397491506</v>
      </c>
      <c r="H3455" t="n">
        <v>0.0109109018504238</v>
      </c>
      <c r="I3455" t="n">
        <v>0.5637550208019668</v>
      </c>
      <c r="J3455" t="n">
        <v>2.472518981734267e-05</v>
      </c>
      <c r="K3455" t="n">
        <v>0.9836503235950286</v>
      </c>
      <c r="L3455" t="b">
        <v>0</v>
      </c>
      <c r="M3455" t="b">
        <v>0</v>
      </c>
      <c r="N3455" t="inlineStr">
        <is>
          <t>ref</t>
        </is>
      </c>
      <c r="O3455" t="n">
        <v>100</v>
      </c>
      <c r="P3455" t="n">
        <v>0.012054</v>
      </c>
      <c r="Q3455" t="n">
        <v>-100</v>
      </c>
      <c r="R3455" t="n">
        <v>0.07886</v>
      </c>
      <c r="S3455">
        <f>IMAGE("https://mitra.stanford.edu/kundaje/oak/projects/neuro-variants/variant_position/credible/roussos_2024/variant_figures/roussos_2024.childhood.GLU/rs3112532_count_position.png",4,220,900)</f>
        <v/>
      </c>
      <c r="T3455">
        <f>IMAGE("https://mitra.stanford.edu/kundaje/oak/projects/neuro-variants/variant_position/credible/roussos_2024/variant_figures/roussos_2024.childhood.GLU/rs3112532_profile_position.png",4,220,900)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-0.136147458</v>
      </c>
      <c r="G3456" t="n">
        <v>0.0224094809981786</v>
      </c>
      <c r="H3456" t="n">
        <v>0.0169421165375446</v>
      </c>
      <c r="I3456" t="n">
        <v>0.1775566768603394</v>
      </c>
      <c r="J3456" t="n">
        <v>0.0047091184439613</v>
      </c>
      <c r="K3456" t="n">
        <v>0.6818172701792279</v>
      </c>
      <c r="L3456" t="b">
        <v>0</v>
      </c>
      <c r="M3456" t="b">
        <v>0</v>
      </c>
      <c r="N3456" t="inlineStr">
        <is>
          <t>ref</t>
        </is>
      </c>
      <c r="O3456" t="n">
        <v>95</v>
      </c>
      <c r="P3456" t="n">
        <v>0.01222</v>
      </c>
      <c r="Q3456" t="n">
        <v>55</v>
      </c>
      <c r="R3456" t="n">
        <v>0.0363</v>
      </c>
      <c r="S3456">
        <f>IMAGE("https://mitra.stanford.edu/kundaje/oak/projects/neuro-variants/variant_position/credible/roussos_2024/variant_figures/roussos_2024.childhood.GLU/rs296175_count_position.png",4,220,900)</f>
        <v/>
      </c>
      <c r="T3456">
        <f>IMAGE("https://mitra.stanford.edu/kundaje/oak/projects/neuro-variants/variant_position/credible/roussos_2024/variant_figures/roussos_2024.childhood.GLU/rs296175_profile_position.png",4,220,900)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0.1230615188</v>
      </c>
      <c r="G3457" t="n">
        <v>0.0300843520931933</v>
      </c>
      <c r="H3457" t="n">
        <v>0.0193616199068705</v>
      </c>
      <c r="I3457" t="n">
        <v>0.1206910787870677</v>
      </c>
      <c r="J3457" t="n">
        <v>0.0732112870491516</v>
      </c>
      <c r="K3457" t="n">
        <v>0.3010821072927354</v>
      </c>
      <c r="L3457" t="b">
        <v>0</v>
      </c>
      <c r="M3457" t="b">
        <v>0</v>
      </c>
      <c r="N3457" t="inlineStr">
        <is>
          <t>alt</t>
        </is>
      </c>
      <c r="O3457" t="n">
        <v>-100</v>
      </c>
      <c r="P3457" t="n">
        <v>0.01126</v>
      </c>
      <c r="Q3457" t="n">
        <v>-100</v>
      </c>
      <c r="R3457" t="n">
        <v>0.1333</v>
      </c>
      <c r="S3457">
        <f>IMAGE("https://mitra.stanford.edu/kundaje/oak/projects/neuro-variants/variant_position/credible/roussos_2024/variant_figures/roussos_2024.childhood.GLU/rs2546328_count_position.png",4,220,900)</f>
        <v/>
      </c>
      <c r="T3457">
        <f>IMAGE("https://mitra.stanford.edu/kundaje/oak/projects/neuro-variants/variant_position/credible/roussos_2024/variant_figures/roussos_2024.childhood.GLU/rs2546328_profile_position.png",4,220,900)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0.0062618881599999</v>
      </c>
      <c r="G3458" t="n">
        <v>0.5460966219641356</v>
      </c>
      <c r="H3458" t="n">
        <v>0.008894648802003099</v>
      </c>
      <c r="I3458" t="n">
        <v>0.7812794561387242</v>
      </c>
      <c r="J3458" t="n">
        <v>0.0118680911123244</v>
      </c>
      <c r="K3458" t="n">
        <v>0.5762709645299344</v>
      </c>
      <c r="L3458" t="b">
        <v>0</v>
      </c>
      <c r="M3458" t="b">
        <v>0</v>
      </c>
      <c r="N3458" t="inlineStr">
        <is>
          <t>alt</t>
        </is>
      </c>
      <c r="O3458" t="n">
        <v>-85</v>
      </c>
      <c r="P3458" t="n">
        <v>0.005203</v>
      </c>
      <c r="Q3458" t="n">
        <v>50</v>
      </c>
      <c r="R3458" t="n">
        <v>0.06134</v>
      </c>
      <c r="S3458">
        <f>IMAGE("https://mitra.stanford.edu/kundaje/oak/projects/neuro-variants/variant_position/credible/roussos_2024/variant_figures/roussos_2024.childhood.GLU/rs2349576_count_position.png",4,220,900)</f>
        <v/>
      </c>
      <c r="T3458">
        <f>IMAGE("https://mitra.stanford.edu/kundaje/oak/projects/neuro-variants/variant_position/credible/roussos_2024/variant_figures/roussos_2024.childhood.GLU/rs2349576_profile_position.png",4,220,900)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-0.03563488664</v>
      </c>
      <c r="G3459" t="n">
        <v>0.3015196750647235</v>
      </c>
      <c r="H3459" t="n">
        <v>0.019466200676296</v>
      </c>
      <c r="I3459" t="n">
        <v>0.1086984061603684</v>
      </c>
      <c r="J3459" t="n">
        <v>0.07962438315802479</v>
      </c>
      <c r="K3459" t="n">
        <v>0.2839445166300117</v>
      </c>
      <c r="L3459" t="b">
        <v>0</v>
      </c>
      <c r="M3459" t="b">
        <v>0</v>
      </c>
      <c r="N3459" t="inlineStr">
        <is>
          <t>ref</t>
        </is>
      </c>
      <c r="O3459" t="n">
        <v>-95</v>
      </c>
      <c r="P3459" t="n">
        <v>0.05103</v>
      </c>
      <c r="Q3459" t="n">
        <v>-75</v>
      </c>
      <c r="R3459" t="n">
        <v>0.316</v>
      </c>
      <c r="S3459">
        <f>IMAGE("https://mitra.stanford.edu/kundaje/oak/projects/neuro-variants/variant_position/credible/roussos_2024/variant_figures/roussos_2024.childhood.GLU/rs2926288_count_position.png",4,220,900)</f>
        <v/>
      </c>
      <c r="T3459">
        <f>IMAGE("https://mitra.stanford.edu/kundaje/oak/projects/neuro-variants/variant_position/credible/roussos_2024/variant_figures/roussos_2024.childhood.GLU/rs2926288_profile_position.png",4,220,900)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-0.0349121738</v>
      </c>
      <c r="G3460" t="n">
        <v>0.2927300465013044</v>
      </c>
      <c r="H3460" t="n">
        <v>0.013422893942715</v>
      </c>
      <c r="I3460" t="n">
        <v>0.3404132753404258</v>
      </c>
      <c r="J3460" t="n">
        <v>0.0129539390318027</v>
      </c>
      <c r="K3460" t="n">
        <v>0.5539921892997346</v>
      </c>
      <c r="L3460" t="b">
        <v>0</v>
      </c>
      <c r="M3460" t="b">
        <v>0</v>
      </c>
      <c r="N3460" t="inlineStr">
        <is>
          <t>ref</t>
        </is>
      </c>
      <c r="O3460" t="n">
        <v>-100</v>
      </c>
      <c r="P3460" t="n">
        <v>0.004604</v>
      </c>
      <c r="Q3460" t="n">
        <v>-100</v>
      </c>
      <c r="R3460" t="n">
        <v>0.0823</v>
      </c>
      <c r="S3460">
        <f>IMAGE("https://mitra.stanford.edu/kundaje/oak/projects/neuro-variants/variant_position/credible/roussos_2024/variant_figures/roussos_2024.childhood.GLU/rs2964817_count_position.png",4,220,900)</f>
        <v/>
      </c>
      <c r="T3460">
        <f>IMAGE("https://mitra.stanford.edu/kundaje/oak/projects/neuro-variants/variant_position/credible/roussos_2024/variant_figures/roussos_2024.childhood.GLU/rs2964817_profile_position.png",4,220,900)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0.0836683476</v>
      </c>
      <c r="G3461" t="n">
        <v>0.06448575955863239</v>
      </c>
      <c r="H3461" t="n">
        <v>0.0132002889608502</v>
      </c>
      <c r="I3461" t="n">
        <v>0.351954215621225</v>
      </c>
      <c r="J3461" t="n">
        <v>0.1140006387340702</v>
      </c>
      <c r="K3461" t="n">
        <v>0.2269735169463752</v>
      </c>
      <c r="L3461" t="b">
        <v>0</v>
      </c>
      <c r="M3461" t="b">
        <v>0</v>
      </c>
      <c r="N3461" t="inlineStr">
        <is>
          <t>alt</t>
        </is>
      </c>
      <c r="O3461" t="n">
        <v>-15</v>
      </c>
      <c r="P3461" t="n">
        <v>0.00277</v>
      </c>
      <c r="Q3461" t="n">
        <v>60</v>
      </c>
      <c r="R3461" t="n">
        <v>0.03174</v>
      </c>
      <c r="S3461">
        <f>IMAGE("https://mitra.stanford.edu/kundaje/oak/projects/neuro-variants/variant_position/credible/roussos_2024/variant_figures/roussos_2024.childhood.GLU/rs2199123_count_position.png",4,220,900)</f>
        <v/>
      </c>
      <c r="T3461">
        <f>IMAGE("https://mitra.stanford.edu/kundaje/oak/projects/neuro-variants/variant_position/credible/roussos_2024/variant_figures/roussos_2024.childhood.GLU/rs2199123_profile_position.png",4,220,900)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-0.1294658138</v>
      </c>
      <c r="G3462" t="n">
        <v>0.0280568076129759</v>
      </c>
      <c r="H3462" t="n">
        <v>0.0211916147940804</v>
      </c>
      <c r="I3462" t="n">
        <v>0.08391032191646119</v>
      </c>
      <c r="J3462" t="n">
        <v>0.1310002369497357</v>
      </c>
      <c r="K3462" t="n">
        <v>0.2047749754619549</v>
      </c>
      <c r="L3462" t="b">
        <v>0</v>
      </c>
      <c r="M3462" t="b">
        <v>0</v>
      </c>
      <c r="N3462" t="inlineStr">
        <is>
          <t>ref</t>
        </is>
      </c>
      <c r="O3462" t="n">
        <v>-95</v>
      </c>
      <c r="P3462" t="n">
        <v>0.002914</v>
      </c>
      <c r="Q3462" t="n">
        <v>-55</v>
      </c>
      <c r="R3462" t="n">
        <v>0.05713</v>
      </c>
      <c r="S3462">
        <f>IMAGE("https://mitra.stanford.edu/kundaje/oak/projects/neuro-variants/variant_position/credible/roussos_2024/variant_figures/roussos_2024.childhood.GLU/rs17504622_count_position.png",4,220,900)</f>
        <v/>
      </c>
      <c r="T3462">
        <f>IMAGE("https://mitra.stanford.edu/kundaje/oak/projects/neuro-variants/variant_position/credible/roussos_2024/variant_figures/roussos_2024.childhood.GLU/rs17504622_profile_position.png",4,220,900)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-0.00248000996</v>
      </c>
      <c r="G3463" t="n">
        <v>0.7906334541843365</v>
      </c>
      <c r="H3463" t="n">
        <v>0.0112023736974678</v>
      </c>
      <c r="I3463" t="n">
        <v>0.5311361222154221</v>
      </c>
      <c r="J3463" t="n">
        <v>0.1512779832486838</v>
      </c>
      <c r="K3463" t="n">
        <v>0.1883875175347037</v>
      </c>
      <c r="L3463" t="b">
        <v>0</v>
      </c>
      <c r="M3463" t="b">
        <v>0</v>
      </c>
      <c r="N3463" t="inlineStr">
        <is>
          <t>ref</t>
        </is>
      </c>
      <c r="O3463" t="n">
        <v>-60</v>
      </c>
      <c r="P3463" t="n">
        <v>0.005417</v>
      </c>
      <c r="Q3463" t="n">
        <v>-50</v>
      </c>
      <c r="R3463" t="n">
        <v>0.0572</v>
      </c>
      <c r="S3463">
        <f>IMAGE("https://mitra.stanford.edu/kundaje/oak/projects/neuro-variants/variant_position/credible/roussos_2024/variant_figures/roussos_2024.childhood.GLU/rs308267_count_position.png",4,220,900)</f>
        <v/>
      </c>
      <c r="T3463">
        <f>IMAGE("https://mitra.stanford.edu/kundaje/oak/projects/neuro-variants/variant_position/credible/roussos_2024/variant_figures/roussos_2024.childhood.GLU/rs308267_profile_position.png",4,220,900)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0.057669994</v>
      </c>
      <c r="G3464" t="n">
        <v>0.1355873575451608</v>
      </c>
      <c r="H3464" t="n">
        <v>0.0118252109767633</v>
      </c>
      <c r="I3464" t="n">
        <v>0.4753590496938824</v>
      </c>
      <c r="J3464" t="n">
        <v>0.07928235136555151</v>
      </c>
      <c r="K3464" t="n">
        <v>0.2790660445390516</v>
      </c>
      <c r="L3464" t="b">
        <v>0</v>
      </c>
      <c r="M3464" t="b">
        <v>0</v>
      </c>
      <c r="N3464" t="inlineStr">
        <is>
          <t>alt</t>
        </is>
      </c>
      <c r="O3464" t="n">
        <v>-5</v>
      </c>
      <c r="P3464" t="n">
        <v>0.0005035</v>
      </c>
      <c r="Q3464" t="n">
        <v>-90</v>
      </c>
      <c r="R3464" t="n">
        <v>0.03845</v>
      </c>
      <c r="S3464">
        <f>IMAGE("https://mitra.stanford.edu/kundaje/oak/projects/neuro-variants/variant_position/credible/roussos_2024/variant_figures/roussos_2024.childhood.GLU/rs2609671_count_position.png",4,220,900)</f>
        <v/>
      </c>
      <c r="T3464">
        <f>IMAGE("https://mitra.stanford.edu/kundaje/oak/projects/neuro-variants/variant_position/credible/roussos_2024/variant_figures/roussos_2024.childhood.GLU/rs2609671_profile_position.png",4,220,900)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0.0352305658</v>
      </c>
      <c r="G3465" t="n">
        <v>0.2731494196649603</v>
      </c>
      <c r="H3465" t="n">
        <v>0.0090647621267433</v>
      </c>
      <c r="I3465" t="n">
        <v>0.7674817055495794</v>
      </c>
      <c r="J3465" t="n">
        <v>0.2738592930656144</v>
      </c>
      <c r="K3465" t="n">
        <v>0.1087007018776629</v>
      </c>
      <c r="L3465" t="b">
        <v>0</v>
      </c>
      <c r="M3465" t="b">
        <v>0</v>
      </c>
      <c r="N3465" t="inlineStr">
        <is>
          <t>alt</t>
        </is>
      </c>
      <c r="O3465" t="n">
        <v>-95</v>
      </c>
      <c r="P3465" t="n">
        <v>0.00491</v>
      </c>
      <c r="Q3465" t="n">
        <v>50</v>
      </c>
      <c r="R3465" t="n">
        <v>0.06304999999999999</v>
      </c>
      <c r="S3465">
        <f>IMAGE("https://mitra.stanford.edu/kundaje/oak/projects/neuro-variants/variant_position/credible/roussos_2024/variant_figures/roussos_2024.childhood.GLU/rs300325_count_position.png",4,220,900)</f>
        <v/>
      </c>
      <c r="T3465">
        <f>IMAGE("https://mitra.stanford.edu/kundaje/oak/projects/neuro-variants/variant_position/credible/roussos_2024/variant_figures/roussos_2024.childhood.GLU/rs300325_profile_position.png",4,220,900)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-0.031457468</v>
      </c>
      <c r="G3466" t="n">
        <v>0.3401036455204053</v>
      </c>
      <c r="H3466" t="n">
        <v>0.0123769143954959</v>
      </c>
      <c r="I3466" t="n">
        <v>0.4258307033391926</v>
      </c>
      <c r="J3466" t="n">
        <v>0.000990037808936</v>
      </c>
      <c r="K3466" t="n">
        <v>0.8320832845542493</v>
      </c>
      <c r="L3466" t="b">
        <v>0</v>
      </c>
      <c r="M3466" t="b">
        <v>0</v>
      </c>
      <c r="N3466" t="inlineStr">
        <is>
          <t>ref</t>
        </is>
      </c>
      <c r="O3466" t="n">
        <v>5</v>
      </c>
      <c r="P3466" t="n">
        <v>0.000599</v>
      </c>
      <c r="Q3466" t="n">
        <v>-85</v>
      </c>
      <c r="R3466" t="n">
        <v>0.1377</v>
      </c>
      <c r="S3466">
        <f>IMAGE("https://mitra.stanford.edu/kundaje/oak/projects/neuro-variants/variant_position/credible/roussos_2024/variant_figures/roussos_2024.childhood.GLU/rs2617267_count_position.png",4,220,900)</f>
        <v/>
      </c>
      <c r="T3466">
        <f>IMAGE("https://mitra.stanford.edu/kundaje/oak/projects/neuro-variants/variant_position/credible/roussos_2024/variant_figures/roussos_2024.childhood.GLU/rs2617267_profile_position.png",4,220,900)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0.0727253516</v>
      </c>
      <c r="G3467" t="n">
        <v>0.0879137557922705</v>
      </c>
      <c r="H3467" t="n">
        <v>0.0149317268089985</v>
      </c>
      <c r="I3467" t="n">
        <v>0.2560500988768792</v>
      </c>
      <c r="J3467" t="n">
        <v>0.0025188787126417</v>
      </c>
      <c r="K3467" t="n">
        <v>0.7651564752175396</v>
      </c>
      <c r="L3467" t="b">
        <v>0</v>
      </c>
      <c r="M3467" t="b">
        <v>0</v>
      </c>
      <c r="N3467" t="inlineStr">
        <is>
          <t>alt</t>
        </is>
      </c>
      <c r="O3467" t="n">
        <v>-20</v>
      </c>
      <c r="P3467" t="n">
        <v>0.002655</v>
      </c>
      <c r="Q3467" t="n">
        <v>100</v>
      </c>
      <c r="R3467" t="n">
        <v>0.0998</v>
      </c>
      <c r="S3467">
        <f>IMAGE("https://mitra.stanford.edu/kundaje/oak/projects/neuro-variants/variant_position/credible/roussos_2024/variant_figures/roussos_2024.childhood.GLU/rs2964819_count_position.png",4,220,900)</f>
        <v/>
      </c>
      <c r="T3467">
        <f>IMAGE("https://mitra.stanford.edu/kundaje/oak/projects/neuro-variants/variant_position/credible/roussos_2024/variant_figures/roussos_2024.childhood.GLU/rs2964819_profile_position.png",4,220,900)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0.0799668496</v>
      </c>
      <c r="G3468" t="n">
        <v>0.07769461587733149</v>
      </c>
      <c r="H3468" t="n">
        <v>0.0283293207692266</v>
      </c>
      <c r="I3468" t="n">
        <v>0.0266093293244407</v>
      </c>
      <c r="J3468" t="n">
        <v>0.0046998464977798</v>
      </c>
      <c r="K3468" t="n">
        <v>0.7054125099788379</v>
      </c>
      <c r="L3468" t="b">
        <v>0</v>
      </c>
      <c r="M3468" t="b">
        <v>0</v>
      </c>
      <c r="N3468" t="inlineStr">
        <is>
          <t>alt</t>
        </is>
      </c>
      <c r="O3468" t="n">
        <v>-95</v>
      </c>
      <c r="P3468" t="n">
        <v>0.003944</v>
      </c>
      <c r="Q3468" t="n">
        <v>50</v>
      </c>
      <c r="R3468" t="n">
        <v>0.09247</v>
      </c>
      <c r="S3468">
        <f>IMAGE("https://mitra.stanford.edu/kundaje/oak/projects/neuro-variants/variant_position/credible/roussos_2024/variant_figures/roussos_2024.childhood.GLU/rs2560245_count_position.png",4,220,900)</f>
        <v/>
      </c>
      <c r="T3468">
        <f>IMAGE("https://mitra.stanford.edu/kundaje/oak/projects/neuro-variants/variant_position/credible/roussos_2024/variant_figures/roussos_2024.childhood.GLU/rs2560245_profile_position.png",4,220,900)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0.0767256</v>
      </c>
      <c r="G3469" t="n">
        <v>0.08463032292505331</v>
      </c>
      <c r="H3469" t="n">
        <v>0.0148345772475835</v>
      </c>
      <c r="I3469" t="n">
        <v>0.2603930242647965</v>
      </c>
      <c r="J3469" t="n">
        <v>0.0324590231489589</v>
      </c>
      <c r="K3469" t="n">
        <v>0.4177070170948259</v>
      </c>
      <c r="L3469" t="b">
        <v>0</v>
      </c>
      <c r="M3469" t="b">
        <v>0</v>
      </c>
      <c r="N3469" t="inlineStr">
        <is>
          <t>alt</t>
        </is>
      </c>
      <c r="O3469" t="n">
        <v>-30</v>
      </c>
      <c r="P3469" t="n">
        <v>0.005188</v>
      </c>
      <c r="Q3469" t="n">
        <v>-65</v>
      </c>
      <c r="R3469" t="n">
        <v>0.0919</v>
      </c>
      <c r="S3469">
        <f>IMAGE("https://mitra.stanford.edu/kundaje/oak/projects/neuro-variants/variant_position/credible/roussos_2024/variant_figures/roussos_2024.childhood.GLU/rs2446429_count_position.png",4,220,900)</f>
        <v/>
      </c>
      <c r="T3469">
        <f>IMAGE("https://mitra.stanford.edu/kundaje/oak/projects/neuro-variants/variant_position/credible/roussos_2024/variant_figures/roussos_2024.childhood.GLU/rs2446429_profile_position.png",4,220,900)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-0.0261096771</v>
      </c>
      <c r="G3470" t="n">
        <v>0.4134943822966748</v>
      </c>
      <c r="H3470" t="n">
        <v>0.0117991007699139</v>
      </c>
      <c r="I3470" t="n">
        <v>0.4741538067450942</v>
      </c>
      <c r="J3470" t="n">
        <v>0.0283021006109181</v>
      </c>
      <c r="K3470" t="n">
        <v>0.4388572907678509</v>
      </c>
      <c r="L3470" t="b">
        <v>0</v>
      </c>
      <c r="M3470" t="b">
        <v>0</v>
      </c>
      <c r="N3470" t="inlineStr">
        <is>
          <t>ref</t>
        </is>
      </c>
      <c r="O3470" t="n">
        <v>-50</v>
      </c>
      <c r="P3470" t="n">
        <v>0.004784</v>
      </c>
      <c r="Q3470" t="n">
        <v>35</v>
      </c>
      <c r="R3470" t="n">
        <v>0.0337</v>
      </c>
      <c r="S3470">
        <f>IMAGE("https://mitra.stanford.edu/kundaje/oak/projects/neuro-variants/variant_position/credible/roussos_2024/variant_figures/roussos_2024.childhood.GLU/rs2560247_count_position.png",4,220,900)</f>
        <v/>
      </c>
      <c r="T3470">
        <f>IMAGE("https://mitra.stanford.edu/kundaje/oak/projects/neuro-variants/variant_position/credible/roussos_2024/variant_figures/roussos_2024.childhood.GLU/rs2560247_profile_position.png",4,220,900)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-0.627744964</v>
      </c>
      <c r="G3471" t="n">
        <v>8.851068324385664e-05</v>
      </c>
      <c r="H3471" t="n">
        <v>0.0977761946496756</v>
      </c>
      <c r="I3471" t="n">
        <v>0.0002499006910925</v>
      </c>
      <c r="J3471" t="n">
        <v>0.0369064666673534</v>
      </c>
      <c r="K3471" t="n">
        <v>0.3953149127557522</v>
      </c>
      <c r="L3471" t="b">
        <v>1</v>
      </c>
      <c r="M3471" t="b">
        <v>1</v>
      </c>
      <c r="N3471" t="inlineStr">
        <is>
          <t>ref</t>
        </is>
      </c>
      <c r="O3471" t="n">
        <v>-80</v>
      </c>
      <c r="P3471" t="n">
        <v>0.007934999999999999</v>
      </c>
      <c r="Q3471" t="n">
        <v>-85</v>
      </c>
      <c r="R3471" t="n">
        <v>0.1987</v>
      </c>
      <c r="S3471">
        <f>IMAGE("https://mitra.stanford.edu/kundaje/oak/projects/neuro-variants/variant_position/credible/roussos_2024/variant_figures/roussos_2024.childhood.GLU/rs170027_count_position.png",4,220,900)</f>
        <v/>
      </c>
      <c r="T3471">
        <f>IMAGE("https://mitra.stanford.edu/kundaje/oak/projects/neuro-variants/variant_position/credible/roussos_2024/variant_figures/roussos_2024.childhood.GLU/rs170027_profile_position.png",4,220,900)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-0.6069188240000001</v>
      </c>
      <c r="G3472" t="n">
        <v>0.0001131723575212</v>
      </c>
      <c r="H3472" t="n">
        <v>0.1673847910047086</v>
      </c>
      <c r="I3472" t="n">
        <v>3.45231799148611e-05</v>
      </c>
      <c r="J3472" t="n">
        <v>0.0504239339837431</v>
      </c>
      <c r="K3472" t="n">
        <v>0.3494893498015744</v>
      </c>
      <c r="L3472" t="b">
        <v>1</v>
      </c>
      <c r="M3472" t="b">
        <v>1</v>
      </c>
      <c r="N3472" t="inlineStr">
        <is>
          <t>ref</t>
        </is>
      </c>
      <c r="O3472" t="n">
        <v>100</v>
      </c>
      <c r="P3472" t="n">
        <v>0.01105</v>
      </c>
      <c r="Q3472" t="n">
        <v>100</v>
      </c>
      <c r="R3472" t="n">
        <v>0.1953</v>
      </c>
      <c r="S3472">
        <f>IMAGE("https://mitra.stanford.edu/kundaje/oak/projects/neuro-variants/variant_position/credible/roussos_2024/variant_figures/roussos_2024.childhood.GLU/rs304859_count_position.png",4,220,900)</f>
        <v/>
      </c>
      <c r="T3472">
        <f>IMAGE("https://mitra.stanford.edu/kundaje/oak/projects/neuro-variants/variant_position/credible/roussos_2024/variant_figures/roussos_2024.childhood.GLU/rs304859_profile_position.png",4,220,900)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-0.1035043294</v>
      </c>
      <c r="G3473" t="n">
        <v>0.0478546457706866</v>
      </c>
      <c r="H3473" t="n">
        <v>0.014756920315942</v>
      </c>
      <c r="I3473" t="n">
        <v>0.2620676019560794</v>
      </c>
      <c r="J3473" t="n">
        <v>0.1197894238000556</v>
      </c>
      <c r="K3473" t="n">
        <v>0.2177637999349973</v>
      </c>
      <c r="L3473" t="b">
        <v>0</v>
      </c>
      <c r="M3473" t="b">
        <v>0</v>
      </c>
      <c r="N3473" t="inlineStr">
        <is>
          <t>ref</t>
        </is>
      </c>
      <c r="O3473" t="n">
        <v>-80</v>
      </c>
      <c r="P3473" t="n">
        <v>0.00116</v>
      </c>
      <c r="Q3473" t="n">
        <v>50</v>
      </c>
      <c r="R3473" t="n">
        <v>0.09766</v>
      </c>
      <c r="S3473">
        <f>IMAGE("https://mitra.stanford.edu/kundaje/oak/projects/neuro-variants/variant_position/credible/roussos_2024/variant_figures/roussos_2024.childhood.GLU/rs35407853_count_position.png",4,220,900)</f>
        <v/>
      </c>
      <c r="T3473">
        <f>IMAGE("https://mitra.stanford.edu/kundaje/oak/projects/neuro-variants/variant_position/credible/roussos_2024/variant_figures/roussos_2024.childhood.GLU/rs35407853_profile_position.png",4,220,900)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0.0719727086</v>
      </c>
      <c r="G3474" t="n">
        <v>0.08588172677399381</v>
      </c>
      <c r="H3474" t="n">
        <v>0.0114001575933713</v>
      </c>
      <c r="I3474" t="n">
        <v>0.5075016132255946</v>
      </c>
      <c r="J3474" t="n">
        <v>0.1391039179123697</v>
      </c>
      <c r="K3474" t="n">
        <v>0.1966344360692777</v>
      </c>
      <c r="L3474" t="b">
        <v>0</v>
      </c>
      <c r="M3474" t="b">
        <v>0</v>
      </c>
      <c r="N3474" t="inlineStr">
        <is>
          <t>alt</t>
        </is>
      </c>
      <c r="O3474" t="n">
        <v>-70</v>
      </c>
      <c r="P3474" t="n">
        <v>0.01318</v>
      </c>
      <c r="Q3474" t="n">
        <v>-15</v>
      </c>
      <c r="R3474" t="n">
        <v>0.03564</v>
      </c>
      <c r="S3474">
        <f>IMAGE("https://mitra.stanford.edu/kundaje/oak/projects/neuro-variants/variant_position/credible/roussos_2024/variant_figures/roussos_2024.childhood.GLU/rs304863_count_position.png",4,220,900)</f>
        <v/>
      </c>
      <c r="T3474">
        <f>IMAGE("https://mitra.stanford.edu/kundaje/oak/projects/neuro-variants/variant_position/credible/roussos_2024/variant_figures/roussos_2024.childhood.GLU/rs304863_profile_position.png",4,220,900)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0.00255380915</v>
      </c>
      <c r="G3475" t="n">
        <v>0.6162591052203046</v>
      </c>
      <c r="H3475" t="n">
        <v>0.0128521731044404</v>
      </c>
      <c r="I3475" t="n">
        <v>0.3833733229133108</v>
      </c>
      <c r="J3475" t="n">
        <v>0.0038818548013227</v>
      </c>
      <c r="K3475" t="n">
        <v>0.7005229637237844</v>
      </c>
      <c r="L3475" t="b">
        <v>0</v>
      </c>
      <c r="M3475" t="b">
        <v>0</v>
      </c>
      <c r="N3475" t="inlineStr">
        <is>
          <t>alt</t>
        </is>
      </c>
      <c r="O3475" t="n">
        <v>-90</v>
      </c>
      <c r="P3475" t="n">
        <v>0.05493</v>
      </c>
      <c r="Q3475" t="n">
        <v>-50</v>
      </c>
      <c r="R3475" t="n">
        <v>0.1471</v>
      </c>
      <c r="S3475">
        <f>IMAGE("https://mitra.stanford.edu/kundaje/oak/projects/neuro-variants/variant_position/credible/roussos_2024/variant_figures/roussos_2024.childhood.GLU/rs304864_count_position.png",4,220,900)</f>
        <v/>
      </c>
      <c r="T3475">
        <f>IMAGE("https://mitra.stanford.edu/kundaje/oak/projects/neuro-variants/variant_position/credible/roussos_2024/variant_figures/roussos_2024.childhood.GLU/rs304864_profile_position.png",4,220,900)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0.141569866</v>
      </c>
      <c r="G3476" t="n">
        <v>0.0196422377374421</v>
      </c>
      <c r="H3476" t="n">
        <v>0.0325325394314528</v>
      </c>
      <c r="I3476" t="n">
        <v>0.0150895932142322</v>
      </c>
      <c r="J3476" t="n">
        <v>0.0122245459321911</v>
      </c>
      <c r="K3476" t="n">
        <v>0.5645083000421462</v>
      </c>
      <c r="L3476" t="b">
        <v>1</v>
      </c>
      <c r="M3476" t="b">
        <v>0</v>
      </c>
      <c r="N3476" t="inlineStr">
        <is>
          <t>alt</t>
        </is>
      </c>
      <c r="O3476" t="n">
        <v>-5</v>
      </c>
      <c r="P3476" t="n">
        <v>0.001495</v>
      </c>
      <c r="Q3476" t="n">
        <v>100</v>
      </c>
      <c r="R3476" t="n">
        <v>0.04578</v>
      </c>
      <c r="S3476">
        <f>IMAGE("https://mitra.stanford.edu/kundaje/oak/projects/neuro-variants/variant_position/credible/roussos_2024/variant_figures/roussos_2024.childhood.GLU/rs159759_count_position.png",4,220,900)</f>
        <v/>
      </c>
      <c r="T3476">
        <f>IMAGE("https://mitra.stanford.edu/kundaje/oak/projects/neuro-variants/variant_position/credible/roussos_2024/variant_figures/roussos_2024.childhood.GLU/rs159759_profile_position.png",4,220,900)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0.163686342</v>
      </c>
      <c r="G3477" t="n">
        <v>0.0138660036908041</v>
      </c>
      <c r="H3477" t="n">
        <v>0.0263505511269816</v>
      </c>
      <c r="I3477" t="n">
        <v>0.0390365224208014</v>
      </c>
      <c r="J3477" t="n">
        <v>0.046935621787013</v>
      </c>
      <c r="K3477" t="n">
        <v>0.3667363674160863</v>
      </c>
      <c r="L3477" t="b">
        <v>1</v>
      </c>
      <c r="M3477" t="b">
        <v>0</v>
      </c>
      <c r="N3477" t="inlineStr">
        <is>
          <t>alt</t>
        </is>
      </c>
      <c r="O3477" t="n">
        <v>80</v>
      </c>
      <c r="P3477" t="n">
        <v>0.006348</v>
      </c>
      <c r="Q3477" t="n">
        <v>-10</v>
      </c>
      <c r="R3477" t="n">
        <v>0.02881</v>
      </c>
      <c r="S3477">
        <f>IMAGE("https://mitra.stanford.edu/kundaje/oak/projects/neuro-variants/variant_position/credible/roussos_2024/variant_figures/roussos_2024.childhood.GLU/rs160066_count_position.png",4,220,900)</f>
        <v/>
      </c>
      <c r="T3477">
        <f>IMAGE("https://mitra.stanford.edu/kundaje/oak/projects/neuro-variants/variant_position/credible/roussos_2024/variant_figures/roussos_2024.childhood.GLU/rs160066_profile_position.png",4,220,900)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0.178088132</v>
      </c>
      <c r="G3478" t="n">
        <v>0.0103585531417039</v>
      </c>
      <c r="H3478" t="n">
        <v>0.0319615083809267</v>
      </c>
      <c r="I3478" t="n">
        <v>0.017560600800394</v>
      </c>
      <c r="J3478" t="n">
        <v>0.0535403381169707</v>
      </c>
      <c r="K3478" t="n">
        <v>0.3442792217787613</v>
      </c>
      <c r="L3478" t="b">
        <v>1</v>
      </c>
      <c r="M3478" t="b">
        <v>0</v>
      </c>
      <c r="N3478" t="inlineStr">
        <is>
          <t>alt</t>
        </is>
      </c>
      <c r="O3478" t="n">
        <v>75</v>
      </c>
      <c r="P3478" t="n">
        <v>0.008699999999999999</v>
      </c>
      <c r="Q3478" t="n">
        <v>-45</v>
      </c>
      <c r="R3478" t="n">
        <v>0.08790000000000001</v>
      </c>
      <c r="S3478">
        <f>IMAGE("https://mitra.stanford.edu/kundaje/oak/projects/neuro-variants/variant_position/credible/roussos_2024/variant_figures/roussos_2024.childhood.GLU/rs150618_count_position.png",4,220,900)</f>
        <v/>
      </c>
      <c r="T3478">
        <f>IMAGE("https://mitra.stanford.edu/kundaje/oak/projects/neuro-variants/variant_position/credible/roussos_2024/variant_figures/roussos_2024.childhood.GLU/rs150618_profile_position.png",4,220,900)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-0.203255834</v>
      </c>
      <c r="G3479" t="n">
        <v>0.0082424402682968</v>
      </c>
      <c r="H3479" t="n">
        <v>0.0346511854560639</v>
      </c>
      <c r="I3479" t="n">
        <v>0.0132002995811253</v>
      </c>
      <c r="J3479" t="n">
        <v>0.035179824245109</v>
      </c>
      <c r="K3479" t="n">
        <v>0.4135285971784051</v>
      </c>
      <c r="L3479" t="b">
        <v>1</v>
      </c>
      <c r="M3479" t="b">
        <v>1</v>
      </c>
      <c r="N3479" t="inlineStr">
        <is>
          <t>ref</t>
        </is>
      </c>
      <c r="O3479" t="n">
        <v>45</v>
      </c>
      <c r="P3479" t="n">
        <v>0.001907</v>
      </c>
      <c r="Q3479" t="n">
        <v>-95</v>
      </c>
      <c r="R3479" t="n">
        <v>0.1793</v>
      </c>
      <c r="S3479">
        <f>IMAGE("https://mitra.stanford.edu/kundaje/oak/projects/neuro-variants/variant_position/credible/roussos_2024/variant_figures/roussos_2024.childhood.GLU/rs149095_count_position.png",4,220,900)</f>
        <v/>
      </c>
      <c r="T3479">
        <f>IMAGE("https://mitra.stanford.edu/kundaje/oak/projects/neuro-variants/variant_position/credible/roussos_2024/variant_figures/roussos_2024.childhood.GLU/rs149095_profile_position.png",4,220,900)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0.0527567585999999</v>
      </c>
      <c r="G3480" t="n">
        <v>0.1675386326664699</v>
      </c>
      <c r="H3480" t="n">
        <v>0.0202483236867005</v>
      </c>
      <c r="I3480" t="n">
        <v>0.0965490564261143</v>
      </c>
      <c r="J3480" t="n">
        <v>0.2363398477340393</v>
      </c>
      <c r="K3480" t="n">
        <v>0.1259479684500346</v>
      </c>
      <c r="L3480" t="b">
        <v>0</v>
      </c>
      <c r="M3480" t="b">
        <v>0</v>
      </c>
      <c r="N3480" t="inlineStr">
        <is>
          <t>alt</t>
        </is>
      </c>
      <c r="O3480" t="n">
        <v>100</v>
      </c>
      <c r="P3480" t="n">
        <v>0.005447</v>
      </c>
      <c r="Q3480" t="n">
        <v>-100</v>
      </c>
      <c r="R3480" t="n">
        <v>0.04834</v>
      </c>
      <c r="S3480">
        <f>IMAGE("https://mitra.stanford.edu/kundaje/oak/projects/neuro-variants/variant_position/credible/roussos_2024/variant_figures/roussos_2024.childhood.GLU/rs159972_count_position.png",4,220,900)</f>
        <v/>
      </c>
      <c r="T3480">
        <f>IMAGE("https://mitra.stanford.edu/kundaje/oak/projects/neuro-variants/variant_position/credible/roussos_2024/variant_figures/roussos_2024.childhood.GLU/rs159972_profile_position.png",4,220,900)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0.010317591386</v>
      </c>
      <c r="G3481" t="n">
        <v>0.6442230367304825</v>
      </c>
      <c r="H3481" t="n">
        <v>0.0121702695760969</v>
      </c>
      <c r="I3481" t="n">
        <v>0.4287410106198198</v>
      </c>
      <c r="J3481" t="n">
        <v>0.093323168533075</v>
      </c>
      <c r="K3481" t="n">
        <v>0.2559580164401069</v>
      </c>
      <c r="L3481" t="b">
        <v>0</v>
      </c>
      <c r="M3481" t="b">
        <v>0</v>
      </c>
      <c r="N3481" t="inlineStr">
        <is>
          <t>alt</t>
        </is>
      </c>
      <c r="O3481" t="n">
        <v>-100</v>
      </c>
      <c r="P3481" t="n">
        <v>0.02594</v>
      </c>
      <c r="Q3481" t="n">
        <v>-60</v>
      </c>
      <c r="R3481" t="n">
        <v>0.1549</v>
      </c>
      <c r="S3481">
        <f>IMAGE("https://mitra.stanford.edu/kundaje/oak/projects/neuro-variants/variant_position/credible/roussos_2024/variant_figures/roussos_2024.childhood.GLU/rs159973_count_position.png",4,220,900)</f>
        <v/>
      </c>
      <c r="T3481">
        <f>IMAGE("https://mitra.stanford.edu/kundaje/oak/projects/neuro-variants/variant_position/credible/roussos_2024/variant_figures/roussos_2024.childhood.GLU/rs159973_profile_position.png",4,220,900)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0.01421673494</v>
      </c>
      <c r="G3482" t="n">
        <v>0.5202145837770332</v>
      </c>
      <c r="H3482" t="n">
        <v>0.0153130576075079</v>
      </c>
      <c r="I3482" t="n">
        <v>0.2383372468429278</v>
      </c>
      <c r="J3482" t="n">
        <v>0.022045597370888</v>
      </c>
      <c r="K3482" t="n">
        <v>0.4750475830881636</v>
      </c>
      <c r="L3482" t="b">
        <v>0</v>
      </c>
      <c r="M3482" t="b">
        <v>0</v>
      </c>
      <c r="N3482" t="inlineStr">
        <is>
          <t>alt</t>
        </is>
      </c>
      <c r="O3482" t="n">
        <v>-80</v>
      </c>
      <c r="P3482" t="n">
        <v>0.002144</v>
      </c>
      <c r="Q3482" t="n">
        <v>-30</v>
      </c>
      <c r="R3482" t="n">
        <v>0.1298</v>
      </c>
      <c r="S3482">
        <f>IMAGE("https://mitra.stanford.edu/kundaje/oak/projects/neuro-variants/variant_position/credible/roussos_2024/variant_figures/roussos_2024.childhood.GLU/rs304883_count_position.png",4,220,900)</f>
        <v/>
      </c>
      <c r="T3482">
        <f>IMAGE("https://mitra.stanford.edu/kundaje/oak/projects/neuro-variants/variant_position/credible/roussos_2024/variant_figures/roussos_2024.childhood.GLU/rs304883_profile_position.png",4,220,900)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-0.0513984708</v>
      </c>
      <c r="G3483" t="n">
        <v>0.178141411982251</v>
      </c>
      <c r="H3483" t="n">
        <v>0.0118939629076017</v>
      </c>
      <c r="I3483" t="n">
        <v>0.4562691839243035</v>
      </c>
      <c r="J3483" t="n">
        <v>0.0111448793101671</v>
      </c>
      <c r="K3483" t="n">
        <v>0.5868945579880764</v>
      </c>
      <c r="L3483" t="b">
        <v>0</v>
      </c>
      <c r="M3483" t="b">
        <v>0</v>
      </c>
      <c r="N3483" t="inlineStr">
        <is>
          <t>ref</t>
        </is>
      </c>
      <c r="O3483" t="n">
        <v>-30</v>
      </c>
      <c r="P3483" t="n">
        <v>0.01657</v>
      </c>
      <c r="Q3483" t="n">
        <v>45</v>
      </c>
      <c r="R3483" t="n">
        <v>0.01257</v>
      </c>
      <c r="S3483">
        <f>IMAGE("https://mitra.stanford.edu/kundaje/oak/projects/neuro-variants/variant_position/credible/roussos_2024/variant_figures/roussos_2024.childhood.GLU/rs304884_count_position.png",4,220,900)</f>
        <v/>
      </c>
      <c r="T3483">
        <f>IMAGE("https://mitra.stanford.edu/kundaje/oak/projects/neuro-variants/variant_position/credible/roussos_2024/variant_figures/roussos_2024.childhood.GLU/rs304884_profile_position.png",4,220,900)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0.0370458104</v>
      </c>
      <c r="G3484" t="n">
        <v>0.2628327983654509</v>
      </c>
      <c r="H3484" t="n">
        <v>0.0104771131325499</v>
      </c>
      <c r="I3484" t="n">
        <v>0.600222456297863</v>
      </c>
      <c r="J3484" t="n">
        <v>0.0159879258656391</v>
      </c>
      <c r="K3484" t="n">
        <v>0.5196417603214862</v>
      </c>
      <c r="L3484" t="b">
        <v>0</v>
      </c>
      <c r="M3484" t="b">
        <v>0</v>
      </c>
      <c r="N3484" t="inlineStr">
        <is>
          <t>alt</t>
        </is>
      </c>
      <c r="O3484" t="n">
        <v>10</v>
      </c>
      <c r="P3484" t="n">
        <v>0.001845</v>
      </c>
      <c r="Q3484" t="n">
        <v>95</v>
      </c>
      <c r="R3484" t="n">
        <v>0.02393</v>
      </c>
      <c r="S3484">
        <f>IMAGE("https://mitra.stanford.edu/kundaje/oak/projects/neuro-variants/variant_position/credible/roussos_2024/variant_figures/roussos_2024.childhood.GLU/rs304853_count_position.png",4,220,900)</f>
        <v/>
      </c>
      <c r="T3484">
        <f>IMAGE("https://mitra.stanford.edu/kundaje/oak/projects/neuro-variants/variant_position/credible/roussos_2024/variant_figures/roussos_2024.childhood.GLU/rs304853_profile_position.png",4,220,900)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-0.134925394</v>
      </c>
      <c r="G3485" t="n">
        <v>0.0230010870159021</v>
      </c>
      <c r="H3485" t="n">
        <v>0.0136621018684944</v>
      </c>
      <c r="I3485" t="n">
        <v>0.3141589087002596</v>
      </c>
      <c r="J3485" t="n">
        <v>0.0395510317615667</v>
      </c>
      <c r="K3485" t="n">
        <v>0.3873143468687737</v>
      </c>
      <c r="L3485" t="b">
        <v>0</v>
      </c>
      <c r="M3485" t="b">
        <v>0</v>
      </c>
      <c r="N3485" t="inlineStr">
        <is>
          <t>ref</t>
        </is>
      </c>
      <c r="O3485" t="n">
        <v>-95</v>
      </c>
      <c r="P3485" t="n">
        <v>0.00483</v>
      </c>
      <c r="Q3485" t="n">
        <v>100</v>
      </c>
      <c r="R3485" t="n">
        <v>0.12134</v>
      </c>
      <c r="S3485">
        <f>IMAGE("https://mitra.stanford.edu/kundaje/oak/projects/neuro-variants/variant_position/credible/roussos_2024/variant_figures/roussos_2024.childhood.GLU/rs304855_count_position.png",4,220,900)</f>
        <v/>
      </c>
      <c r="T3485">
        <f>IMAGE("https://mitra.stanford.edu/kundaje/oak/projects/neuro-variants/variant_position/credible/roussos_2024/variant_figures/roussos_2024.childhood.GLU/rs304855_profile_position.png",4,220,900)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-0.099047252</v>
      </c>
      <c r="G3486" t="n">
        <v>0.0515748071033983</v>
      </c>
      <c r="H3486" t="n">
        <v>0.0191886081381492</v>
      </c>
      <c r="I3486" t="n">
        <v>0.1114224041549958</v>
      </c>
      <c r="J3486" t="n">
        <v>0.0660451028670917</v>
      </c>
      <c r="K3486" t="n">
        <v>0.3169245117839661</v>
      </c>
      <c r="L3486" t="b">
        <v>0</v>
      </c>
      <c r="M3486" t="b">
        <v>0</v>
      </c>
      <c r="N3486" t="inlineStr">
        <is>
          <t>ref</t>
        </is>
      </c>
      <c r="O3486" t="n">
        <v>95</v>
      </c>
      <c r="P3486" t="n">
        <v>0.02634</v>
      </c>
      <c r="Q3486" t="n">
        <v>100</v>
      </c>
      <c r="R3486" t="n">
        <v>0.1636</v>
      </c>
      <c r="S3486">
        <f>IMAGE("https://mitra.stanford.edu/kundaje/oak/projects/neuro-variants/variant_position/credible/roussos_2024/variant_figures/roussos_2024.childhood.GLU/rs160161_count_position.png",4,220,900)</f>
        <v/>
      </c>
      <c r="T3486">
        <f>IMAGE("https://mitra.stanford.edu/kundaje/oak/projects/neuro-variants/variant_position/credible/roussos_2024/variant_figures/roussos_2024.childhood.GLU/rs160161_profile_position.png",4,220,900)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0.0065067548</v>
      </c>
      <c r="G3487" t="n">
        <v>0.6311476089076506</v>
      </c>
      <c r="H3487" t="n">
        <v>0.0260966080988722</v>
      </c>
      <c r="I3487" t="n">
        <v>0.0377370616364568</v>
      </c>
      <c r="J3487" t="n">
        <v>0.0446629647563022</v>
      </c>
      <c r="K3487" t="n">
        <v>0.3726416483418073</v>
      </c>
      <c r="L3487" t="b">
        <v>0</v>
      </c>
      <c r="M3487" t="b">
        <v>0</v>
      </c>
      <c r="N3487" t="inlineStr">
        <is>
          <t>alt</t>
        </is>
      </c>
      <c r="O3487" t="n">
        <v>-20</v>
      </c>
      <c r="P3487" t="n">
        <v>0.001059</v>
      </c>
      <c r="Q3487" t="n">
        <v>-50</v>
      </c>
      <c r="R3487" t="n">
        <v>0.156</v>
      </c>
      <c r="S3487">
        <f>IMAGE("https://mitra.stanford.edu/kundaje/oak/projects/neuro-variants/variant_position/credible/roussos_2024/variant_figures/roussos_2024.childhood.GLU/rs13172447_count_position.png",4,220,900)</f>
        <v/>
      </c>
      <c r="T3487">
        <f>IMAGE("https://mitra.stanford.edu/kundaje/oak/projects/neuro-variants/variant_position/credible/roussos_2024/variant_figures/roussos_2024.childhood.GLU/rs13172447_profile_position.png",4,220,900)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-0.00377227808</v>
      </c>
      <c r="G3488" t="n">
        <v>0.696245423249882</v>
      </c>
      <c r="H3488" t="n">
        <v>0.0115674389867806</v>
      </c>
      <c r="I3488" t="n">
        <v>0.4945465236306644</v>
      </c>
      <c r="J3488" t="n">
        <v>0.0201026095377419</v>
      </c>
      <c r="K3488" t="n">
        <v>0.4949260235297132</v>
      </c>
      <c r="L3488" t="b">
        <v>0</v>
      </c>
      <c r="M3488" t="b">
        <v>0</v>
      </c>
      <c r="N3488" t="inlineStr">
        <is>
          <t>ref</t>
        </is>
      </c>
      <c r="O3488" t="n">
        <v>35</v>
      </c>
      <c r="P3488" t="n">
        <v>0.001222</v>
      </c>
      <c r="Q3488" t="n">
        <v>100</v>
      </c>
      <c r="R3488" t="n">
        <v>0.04456</v>
      </c>
      <c r="S3488">
        <f>IMAGE("https://mitra.stanford.edu/kundaje/oak/projects/neuro-variants/variant_position/credible/roussos_2024/variant_figures/roussos_2024.childhood.GLU/rs4246043_count_position.png",4,220,900)</f>
        <v/>
      </c>
      <c r="T3488">
        <f>IMAGE("https://mitra.stanford.edu/kundaje/oak/projects/neuro-variants/variant_position/credible/roussos_2024/variant_figures/roussos_2024.childhood.GLU/rs4246043_profile_position.png",4,220,900)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0.0016574472399999</v>
      </c>
      <c r="G3489" t="n">
        <v>0.810498491977531</v>
      </c>
      <c r="H3489" t="n">
        <v>0.0196458965643607</v>
      </c>
      <c r="I3489" t="n">
        <v>0.106234817697615</v>
      </c>
      <c r="J3489" t="n">
        <v>0.1115930233756064</v>
      </c>
      <c r="K3489" t="n">
        <v>0.2297276716305233</v>
      </c>
      <c r="L3489" t="b">
        <v>0</v>
      </c>
      <c r="M3489" t="b">
        <v>0</v>
      </c>
      <c r="N3489" t="inlineStr">
        <is>
          <t>alt</t>
        </is>
      </c>
      <c r="O3489" t="n">
        <v>100</v>
      </c>
      <c r="P3489" t="n">
        <v>0.03467</v>
      </c>
      <c r="Q3489" t="n">
        <v>90</v>
      </c>
      <c r="R3489" t="n">
        <v>0.1877</v>
      </c>
      <c r="S3489">
        <f>IMAGE("https://mitra.stanford.edu/kundaje/oak/projects/neuro-variants/variant_position/credible/roussos_2024/variant_figures/roussos_2024.childhood.GLU/rs3811983_count_position.png",4,220,900)</f>
        <v/>
      </c>
      <c r="T3489">
        <f>IMAGE("https://mitra.stanford.edu/kundaje/oak/projects/neuro-variants/variant_position/credible/roussos_2024/variant_figures/roussos_2024.childhood.GLU/rs3811983_profile_position.png",4,220,900)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0.06440652944</v>
      </c>
      <c r="G3490" t="n">
        <v>0.1170530161847266</v>
      </c>
      <c r="H3490" t="n">
        <v>0.0156137988697162</v>
      </c>
      <c r="I3490" t="n">
        <v>0.2223735487790829</v>
      </c>
      <c r="J3490" t="n">
        <v>0.2317584761041342</v>
      </c>
      <c r="K3490" t="n">
        <v>0.1310248865011264</v>
      </c>
      <c r="L3490" t="b">
        <v>0</v>
      </c>
      <c r="M3490" t="b">
        <v>0</v>
      </c>
      <c r="N3490" t="inlineStr">
        <is>
          <t>alt</t>
        </is>
      </c>
      <c r="O3490" t="n">
        <v>-40</v>
      </c>
      <c r="P3490" t="n">
        <v>0.003326</v>
      </c>
      <c r="Q3490" t="n">
        <v>-15</v>
      </c>
      <c r="R3490" t="n">
        <v>0.009766</v>
      </c>
      <c r="S3490">
        <f>IMAGE("https://mitra.stanford.edu/kundaje/oak/projects/neuro-variants/variant_position/credible/roussos_2024/variant_figures/roussos_2024.childhood.GLU/rs1347798_count_position.png",4,220,900)</f>
        <v/>
      </c>
      <c r="T3490">
        <f>IMAGE("https://mitra.stanford.edu/kundaje/oak/projects/neuro-variants/variant_position/credible/roussos_2024/variant_figures/roussos_2024.childhood.GLU/rs1347798_profile_position.png",4,220,900)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-0.0606047817999999</v>
      </c>
      <c r="G3491" t="n">
        <v>0.1308467198709924</v>
      </c>
      <c r="H3491" t="n">
        <v>0.0163666645767937</v>
      </c>
      <c r="I3491" t="n">
        <v>0.1933431626848374</v>
      </c>
      <c r="J3491" t="n">
        <v>0.2878228440149587</v>
      </c>
      <c r="K3491" t="n">
        <v>0.1030523967050443</v>
      </c>
      <c r="L3491" t="b">
        <v>0</v>
      </c>
      <c r="M3491" t="b">
        <v>0</v>
      </c>
      <c r="N3491" t="inlineStr">
        <is>
          <t>ref</t>
        </is>
      </c>
      <c r="O3491" t="n">
        <v>40</v>
      </c>
      <c r="P3491" t="n">
        <v>0.001465</v>
      </c>
      <c r="Q3491" t="n">
        <v>100</v>
      </c>
      <c r="R3491" t="n">
        <v>0.1838</v>
      </c>
      <c r="S3491">
        <f>IMAGE("https://mitra.stanford.edu/kundaje/oak/projects/neuro-variants/variant_position/credible/roussos_2024/variant_figures/roussos_2024.childhood.GLU/rs425263_count_position.png",4,220,900)</f>
        <v/>
      </c>
      <c r="T3491">
        <f>IMAGE("https://mitra.stanford.edu/kundaje/oak/projects/neuro-variants/variant_position/credible/roussos_2024/variant_figures/roussos_2024.childhood.GLU/rs425263_profile_position.png",4,220,900)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-0.0435113384</v>
      </c>
      <c r="G3492" t="n">
        <v>0.2313609915066699</v>
      </c>
      <c r="H3492" t="n">
        <v>0.0172819775408592</v>
      </c>
      <c r="I3492" t="n">
        <v>0.1571822364549266</v>
      </c>
      <c r="J3492" t="n">
        <v>0.0021644843252598</v>
      </c>
      <c r="K3492" t="n">
        <v>0.7579202513018484</v>
      </c>
      <c r="L3492" t="b">
        <v>0</v>
      </c>
      <c r="M3492" t="b">
        <v>0</v>
      </c>
      <c r="N3492" t="inlineStr">
        <is>
          <t>ref</t>
        </is>
      </c>
      <c r="O3492" t="n">
        <v>95</v>
      </c>
      <c r="P3492" t="n">
        <v>0.03607</v>
      </c>
      <c r="Q3492" t="n">
        <v>-100</v>
      </c>
      <c r="R3492" t="n">
        <v>0.098</v>
      </c>
      <c r="S3492">
        <f>IMAGE("https://mitra.stanford.edu/kundaje/oak/projects/neuro-variants/variant_position/credible/roussos_2024/variant_figures/roussos_2024.childhood.GLU/rs6580047_count_position.png",4,220,900)</f>
        <v/>
      </c>
      <c r="T3492">
        <f>IMAGE("https://mitra.stanford.edu/kundaje/oak/projects/neuro-variants/variant_position/credible/roussos_2024/variant_figures/roussos_2024.childhood.GLU/rs6580047_profile_position.png",4,220,900)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0.159932718</v>
      </c>
      <c r="G3493" t="n">
        <v>0.013936580923001</v>
      </c>
      <c r="H3493" t="n">
        <v>0.0204393672517535</v>
      </c>
      <c r="I3493" t="n">
        <v>0.0932427736503552</v>
      </c>
      <c r="J3493" t="n">
        <v>0.0433308951548929</v>
      </c>
      <c r="K3493" t="n">
        <v>0.3740423467168076</v>
      </c>
      <c r="L3493" t="b">
        <v>1</v>
      </c>
      <c r="M3493" t="b">
        <v>0</v>
      </c>
      <c r="N3493" t="inlineStr">
        <is>
          <t>alt</t>
        </is>
      </c>
      <c r="O3493" t="n">
        <v>80</v>
      </c>
      <c r="P3493" t="n">
        <v>0.0154</v>
      </c>
      <c r="Q3493" t="n">
        <v>80</v>
      </c>
      <c r="R3493" t="n">
        <v>0.1426</v>
      </c>
      <c r="S3493">
        <f>IMAGE("https://mitra.stanford.edu/kundaje/oak/projects/neuro-variants/variant_position/credible/roussos_2024/variant_figures/roussos_2024.childhood.GLU/rs552556_count_position.png",4,220,900)</f>
        <v/>
      </c>
      <c r="T3493">
        <f>IMAGE("https://mitra.stanford.edu/kundaje/oak/projects/neuro-variants/variant_position/credible/roussos_2024/variant_figures/roussos_2024.childhood.GLU/rs552556_profile_position.png",4,220,900)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-0.0216447405</v>
      </c>
      <c r="G3494" t="n">
        <v>0.4458284712703403</v>
      </c>
      <c r="H3494" t="n">
        <v>0.0177858074727148</v>
      </c>
      <c r="I3494" t="n">
        <v>0.1458145131747782</v>
      </c>
      <c r="J3494" t="n">
        <v>0.004260974378522</v>
      </c>
      <c r="K3494" t="n">
        <v>0.6961355979312365</v>
      </c>
      <c r="L3494" t="b">
        <v>0</v>
      </c>
      <c r="M3494" t="b">
        <v>0</v>
      </c>
      <c r="N3494" t="inlineStr">
        <is>
          <t>ref</t>
        </is>
      </c>
      <c r="O3494" t="n">
        <v>-65</v>
      </c>
      <c r="P3494" t="n">
        <v>0.001183</v>
      </c>
      <c r="Q3494" t="n">
        <v>90</v>
      </c>
      <c r="R3494" t="n">
        <v>0.11584</v>
      </c>
      <c r="S3494">
        <f>IMAGE("https://mitra.stanford.edu/kundaje/oak/projects/neuro-variants/variant_position/credible/roussos_2024/variant_figures/roussos_2024.childhood.GLU/rs2118660_count_position.png",4,220,900)</f>
        <v/>
      </c>
      <c r="T3494">
        <f>IMAGE("https://mitra.stanford.edu/kundaje/oak/projects/neuro-variants/variant_position/credible/roussos_2024/variant_figures/roussos_2024.childhood.GLU/rs2118660_profile_position.png",4,220,900)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-0.0222888515399999</v>
      </c>
      <c r="G3495" t="n">
        <v>0.4198722501774788</v>
      </c>
      <c r="H3495" t="n">
        <v>0.0234890908837492</v>
      </c>
      <c r="I3495" t="n">
        <v>0.0544592663319995</v>
      </c>
      <c r="J3495" t="n">
        <v>0.0197440942853904</v>
      </c>
      <c r="K3495" t="n">
        <v>0.5021695927884464</v>
      </c>
      <c r="L3495" t="b">
        <v>0</v>
      </c>
      <c r="M3495" t="b">
        <v>0</v>
      </c>
      <c r="N3495" t="inlineStr">
        <is>
          <t>ref</t>
        </is>
      </c>
      <c r="O3495" t="n">
        <v>-40</v>
      </c>
      <c r="P3495" t="n">
        <v>0.01677</v>
      </c>
      <c r="Q3495" t="n">
        <v>10</v>
      </c>
      <c r="R3495" t="n">
        <v>0.003174</v>
      </c>
      <c r="S3495">
        <f>IMAGE("https://mitra.stanford.edu/kundaje/oak/projects/neuro-variants/variant_position/credible/roussos_2024/variant_figures/roussos_2024.childhood.GLU/rs2560047_count_position.png",4,220,900)</f>
        <v/>
      </c>
      <c r="T3495">
        <f>IMAGE("https://mitra.stanford.edu/kundaje/oak/projects/neuro-variants/variant_position/credible/roussos_2024/variant_figures/roussos_2024.childhood.GLU/rs2560047_profile_position.png",4,220,900)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-0.0266478429999999</v>
      </c>
      <c r="G3496" t="n">
        <v>0.3800016109943844</v>
      </c>
      <c r="H3496" t="n">
        <v>0.0096323797888038</v>
      </c>
      <c r="I3496" t="n">
        <v>0.6895970945310088</v>
      </c>
      <c r="J3496" t="n">
        <v>0.0586368178680704</v>
      </c>
      <c r="K3496" t="n">
        <v>0.3374778514595254</v>
      </c>
      <c r="L3496" t="b">
        <v>0</v>
      </c>
      <c r="M3496" t="b">
        <v>0</v>
      </c>
      <c r="N3496" t="inlineStr">
        <is>
          <t>ref</t>
        </is>
      </c>
      <c r="O3496" t="n">
        <v>80</v>
      </c>
      <c r="P3496" t="n">
        <v>0.0114</v>
      </c>
      <c r="Q3496" t="n">
        <v>-100</v>
      </c>
      <c r="R3496" t="n">
        <v>0.10486</v>
      </c>
      <c r="S3496">
        <f>IMAGE("https://mitra.stanford.edu/kundaje/oak/projects/neuro-variants/variant_position/credible/roussos_2024/variant_figures/roussos_2024.childhood.GLU/rs10038905_count_position.png",4,220,900)</f>
        <v/>
      </c>
      <c r="T3496">
        <f>IMAGE("https://mitra.stanford.edu/kundaje/oak/projects/neuro-variants/variant_position/credible/roussos_2024/variant_figures/roussos_2024.childhood.GLU/rs10038905_profile_position.png",4,220,900)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-0.0077595239399999</v>
      </c>
      <c r="G3497" t="n">
        <v>0.7520711723336108</v>
      </c>
      <c r="H3497" t="n">
        <v>0.0072382621075133</v>
      </c>
      <c r="I3497" t="n">
        <v>0.9238435766407752</v>
      </c>
      <c r="J3497" t="n">
        <v>0.0024189477371299</v>
      </c>
      <c r="K3497" t="n">
        <v>0.752481365004416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0.02426</v>
      </c>
      <c r="Q3497" t="n">
        <v>100</v>
      </c>
      <c r="R3497" t="n">
        <v>0.158</v>
      </c>
      <c r="S3497">
        <f>IMAGE("https://mitra.stanford.edu/kundaje/oak/projects/neuro-variants/variant_position/credible/roussos_2024/variant_figures/roussos_2024.childhood.GLU/rs2578375_count_position.png",4,220,900)</f>
        <v/>
      </c>
      <c r="T3497">
        <f>IMAGE("https://mitra.stanford.edu/kundaje/oak/projects/neuro-variants/variant_position/credible/roussos_2024/variant_figures/roussos_2024.childhood.GLU/rs2578375_profile_position.png",4,220,900)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-0.0747147068</v>
      </c>
      <c r="G3498" t="n">
        <v>0.0878288472053803</v>
      </c>
      <c r="H3498" t="n">
        <v>0.0140720332625742</v>
      </c>
      <c r="I3498" t="n">
        <v>0.2961299572628516</v>
      </c>
      <c r="J3498" t="n">
        <v>0.0039003986936857</v>
      </c>
      <c r="K3498" t="n">
        <v>0.7045035875520437</v>
      </c>
      <c r="L3498" t="b">
        <v>0</v>
      </c>
      <c r="M3498" t="b">
        <v>0</v>
      </c>
      <c r="N3498" t="inlineStr">
        <is>
          <t>ref</t>
        </is>
      </c>
      <c r="O3498" t="n">
        <v>-35</v>
      </c>
      <c r="P3498" t="n">
        <v>0.002659</v>
      </c>
      <c r="Q3498" t="n">
        <v>75</v>
      </c>
      <c r="R3498" t="n">
        <v>0.03296</v>
      </c>
      <c r="S3498">
        <f>IMAGE("https://mitra.stanford.edu/kundaje/oak/projects/neuro-variants/variant_position/credible/roussos_2024/variant_figures/roussos_2024.childhood.GLU/rs2578376_count_position.png",4,220,900)</f>
        <v/>
      </c>
      <c r="T3498">
        <f>IMAGE("https://mitra.stanford.edu/kundaje/oak/projects/neuro-variants/variant_position/credible/roussos_2024/variant_figures/roussos_2024.childhood.GLU/rs2578376_profile_position.png",4,220,900)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-0.00208750922</v>
      </c>
      <c r="G3499" t="n">
        <v>0.9008627831321274</v>
      </c>
      <c r="H3499" t="n">
        <v>0.023568846692436</v>
      </c>
      <c r="I3499" t="n">
        <v>0.0551425608769944</v>
      </c>
      <c r="J3499" t="n">
        <v>0.0008097499665179</v>
      </c>
      <c r="K3499" t="n">
        <v>0.8466129628330049</v>
      </c>
      <c r="L3499" t="b">
        <v>0</v>
      </c>
      <c r="M3499" t="b">
        <v>0</v>
      </c>
      <c r="N3499" t="inlineStr">
        <is>
          <t>ref</t>
        </is>
      </c>
      <c r="O3499" t="n">
        <v>-10</v>
      </c>
      <c r="P3499" t="n">
        <v>0.002174</v>
      </c>
      <c r="Q3499" t="n">
        <v>-100</v>
      </c>
      <c r="R3499" t="n">
        <v>0.0418</v>
      </c>
      <c r="S3499">
        <f>IMAGE("https://mitra.stanford.edu/kundaje/oak/projects/neuro-variants/variant_position/credible/roussos_2024/variant_figures/roussos_2024.childhood.GLU/rs567749_count_position.png",4,220,900)</f>
        <v/>
      </c>
      <c r="T3499">
        <f>IMAGE("https://mitra.stanford.edu/kundaje/oak/projects/neuro-variants/variant_position/credible/roussos_2024/variant_figures/roussos_2024.childhood.GLU/rs567749_profile_position.png",4,220,900)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0.115591496</v>
      </c>
      <c r="G3500" t="n">
        <v>0.0351698664301083</v>
      </c>
      <c r="H3500" t="n">
        <v>0.0311335872002245</v>
      </c>
      <c r="I3500" t="n">
        <v>0.0200154035908475</v>
      </c>
      <c r="J3500" t="n">
        <v>0.1597329679499727</v>
      </c>
      <c r="K3500" t="n">
        <v>0.1793475899153669</v>
      </c>
      <c r="L3500" t="b">
        <v>0</v>
      </c>
      <c r="M3500" t="b">
        <v>0</v>
      </c>
      <c r="N3500" t="inlineStr">
        <is>
          <t>alt</t>
        </is>
      </c>
      <c r="O3500" t="n">
        <v>5</v>
      </c>
      <c r="P3500" t="n">
        <v>0.0009155</v>
      </c>
      <c r="Q3500" t="n">
        <v>70</v>
      </c>
      <c r="R3500" t="n">
        <v>0.222</v>
      </c>
      <c r="S3500">
        <f>IMAGE("https://mitra.stanford.edu/kundaje/oak/projects/neuro-variants/variant_position/credible/roussos_2024/variant_figures/roussos_2024.childhood.GLU/rs411245_count_position.png",4,220,900)</f>
        <v/>
      </c>
      <c r="T3500">
        <f>IMAGE("https://mitra.stanford.edu/kundaje/oak/projects/neuro-variants/variant_position/credible/roussos_2024/variant_figures/roussos_2024.childhood.GLU/rs411245_profile_position.png",4,220,900)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-0.17202594</v>
      </c>
      <c r="G3501" t="n">
        <v>0.0135445255884847</v>
      </c>
      <c r="H3501" t="n">
        <v>0.0334671687248195</v>
      </c>
      <c r="I3501" t="n">
        <v>0.0167007708908327</v>
      </c>
      <c r="J3501" t="n">
        <v>0.018152410190899</v>
      </c>
      <c r="K3501" t="n">
        <v>0.5085132794080657</v>
      </c>
      <c r="L3501" t="b">
        <v>1</v>
      </c>
      <c r="M3501" t="b">
        <v>0</v>
      </c>
      <c r="N3501" t="inlineStr">
        <is>
          <t>ref</t>
        </is>
      </c>
      <c r="O3501" t="n">
        <v>10</v>
      </c>
      <c r="P3501" t="n">
        <v>0.003296</v>
      </c>
      <c r="Q3501" t="n">
        <v>30</v>
      </c>
      <c r="R3501" t="n">
        <v>0.0464</v>
      </c>
      <c r="S3501">
        <f>IMAGE("https://mitra.stanford.edu/kundaje/oak/projects/neuro-variants/variant_position/credible/roussos_2024/variant_figures/roussos_2024.childhood.GLU/rs1438590_count_position.png",4,220,900)</f>
        <v/>
      </c>
      <c r="T3501">
        <f>IMAGE("https://mitra.stanford.edu/kundaje/oak/projects/neuro-variants/variant_position/credible/roussos_2024/variant_figures/roussos_2024.childhood.GLU/rs1438590_profile_position.png",4,220,900)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0.0426966704</v>
      </c>
      <c r="G3502" t="n">
        <v>0.2204333558430606</v>
      </c>
      <c r="H3502" t="n">
        <v>0.0200337761930562</v>
      </c>
      <c r="I3502" t="n">
        <v>0.09713707237006</v>
      </c>
      <c r="J3502" t="n">
        <v>0.4347574355857294</v>
      </c>
      <c r="K3502" t="n">
        <v>0.0557078183463579</v>
      </c>
      <c r="L3502" t="b">
        <v>0</v>
      </c>
      <c r="M3502" t="b">
        <v>0</v>
      </c>
      <c r="N3502" t="inlineStr">
        <is>
          <t>alt</t>
        </is>
      </c>
      <c r="O3502" t="n">
        <v>40</v>
      </c>
      <c r="P3502" t="n">
        <v>0.001465</v>
      </c>
      <c r="Q3502" t="n">
        <v>75</v>
      </c>
      <c r="R3502" t="n">
        <v>0.0381</v>
      </c>
      <c r="S3502">
        <f>IMAGE("https://mitra.stanford.edu/kundaje/oak/projects/neuro-variants/variant_position/credible/roussos_2024/variant_figures/roussos_2024.childhood.GLU/rs816028_count_position.png",4,220,900)</f>
        <v/>
      </c>
      <c r="T3502">
        <f>IMAGE("https://mitra.stanford.edu/kundaje/oak/projects/neuro-variants/variant_position/credible/roussos_2024/variant_figures/roussos_2024.childhood.GLU/rs816028_profile_position.png",4,220,900)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0.074394262</v>
      </c>
      <c r="G3503" t="n">
        <v>0.0810804604111983</v>
      </c>
      <c r="H3503" t="n">
        <v>0.0130633539415144</v>
      </c>
      <c r="I3503" t="n">
        <v>0.3631866668766564</v>
      </c>
      <c r="J3503" t="n">
        <v>0.0370579084549846</v>
      </c>
      <c r="K3503" t="n">
        <v>0.4030291418409664</v>
      </c>
      <c r="L3503" t="b">
        <v>0</v>
      </c>
      <c r="M3503" t="b">
        <v>0</v>
      </c>
      <c r="N3503" t="inlineStr">
        <is>
          <t>alt</t>
        </is>
      </c>
      <c r="O3503" t="n">
        <v>-100</v>
      </c>
      <c r="P3503" t="n">
        <v>0.00827</v>
      </c>
      <c r="Q3503" t="n">
        <v>65</v>
      </c>
      <c r="R3503" t="n">
        <v>0.03967</v>
      </c>
      <c r="S3503">
        <f>IMAGE("https://mitra.stanford.edu/kundaje/oak/projects/neuro-variants/variant_position/credible/roussos_2024/variant_figures/roussos_2024.childhood.GLU/rs1478350_count_position.png",4,220,900)</f>
        <v/>
      </c>
      <c r="T3503">
        <f>IMAGE("https://mitra.stanford.edu/kundaje/oak/projects/neuro-variants/variant_position/credible/roussos_2024/variant_figures/roussos_2024.childhood.GLU/rs1478350_profile_position.png",4,220,900)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0.0197075538</v>
      </c>
      <c r="G3504" t="n">
        <v>0.4394555280049756</v>
      </c>
      <c r="H3504" t="n">
        <v>0.0098346728867121</v>
      </c>
      <c r="I3504" t="n">
        <v>0.6773569534307906</v>
      </c>
      <c r="J3504" t="n">
        <v>0.0336149257729197</v>
      </c>
      <c r="K3504" t="n">
        <v>0.4084279665929768</v>
      </c>
      <c r="L3504" t="b">
        <v>0</v>
      </c>
      <c r="M3504" t="b">
        <v>0</v>
      </c>
      <c r="N3504" t="inlineStr">
        <is>
          <t>alt</t>
        </is>
      </c>
      <c r="O3504" t="n">
        <v>70</v>
      </c>
      <c r="P3504" t="n">
        <v>0.00357</v>
      </c>
      <c r="Q3504" t="n">
        <v>-60</v>
      </c>
      <c r="R3504" t="n">
        <v>0.09045</v>
      </c>
      <c r="S3504">
        <f>IMAGE("https://mitra.stanford.edu/kundaje/oak/projects/neuro-variants/variant_position/credible/roussos_2024/variant_figures/roussos_2024.childhood.GLU/rs816009_count_position.png",4,220,900)</f>
        <v/>
      </c>
      <c r="T3504">
        <f>IMAGE("https://mitra.stanford.edu/kundaje/oak/projects/neuro-variants/variant_position/credible/roussos_2024/variant_figures/roussos_2024.childhood.GLU/rs816009_profile_position.png",4,220,900)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-0.0737515104</v>
      </c>
      <c r="G3505" t="n">
        <v>0.09748836335925321</v>
      </c>
      <c r="H3505" t="n">
        <v>0.0224082720316361</v>
      </c>
      <c r="I3505" t="n">
        <v>0.0655509812043169</v>
      </c>
      <c r="J3505" t="n">
        <v>0.0022685361657411</v>
      </c>
      <c r="K3505" t="n">
        <v>0.7649891787948647</v>
      </c>
      <c r="L3505" t="b">
        <v>0</v>
      </c>
      <c r="M3505" t="b">
        <v>0</v>
      </c>
      <c r="N3505" t="inlineStr">
        <is>
          <t>ref</t>
        </is>
      </c>
      <c r="O3505" t="n">
        <v>60</v>
      </c>
      <c r="P3505" t="n">
        <v>0.00248</v>
      </c>
      <c r="Q3505" t="n">
        <v>-45</v>
      </c>
      <c r="R3505" t="n">
        <v>0.0343</v>
      </c>
      <c r="S3505">
        <f>IMAGE("https://mitra.stanford.edu/kundaje/oak/projects/neuro-variants/variant_position/credible/roussos_2024/variant_figures/roussos_2024.childhood.GLU/rs816010_count_position.png",4,220,900)</f>
        <v/>
      </c>
      <c r="T3505">
        <f>IMAGE("https://mitra.stanford.edu/kundaje/oak/projects/neuro-variants/variant_position/credible/roussos_2024/variant_figures/roussos_2024.childhood.GLU/rs816010_profile_position.png",4,220,900)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-0.0069966232399999</v>
      </c>
      <c r="G3506" t="n">
        <v>0.7083596495480927</v>
      </c>
      <c r="H3506" t="n">
        <v>0.0068742678690405</v>
      </c>
      <c r="I3506" t="n">
        <v>0.949067550821212</v>
      </c>
      <c r="J3506" t="n">
        <v>0.0849887191321458</v>
      </c>
      <c r="K3506" t="n">
        <v>0.2756486050488644</v>
      </c>
      <c r="L3506" t="b">
        <v>0</v>
      </c>
      <c r="M3506" t="b">
        <v>0</v>
      </c>
      <c r="N3506" t="inlineStr">
        <is>
          <t>ref</t>
        </is>
      </c>
      <c r="O3506" t="n">
        <v>50</v>
      </c>
      <c r="P3506" t="n">
        <v>0.00403</v>
      </c>
      <c r="Q3506" t="n">
        <v>-50</v>
      </c>
      <c r="R3506" t="n">
        <v>0.0431</v>
      </c>
      <c r="S3506">
        <f>IMAGE("https://mitra.stanford.edu/kundaje/oak/projects/neuro-variants/variant_position/credible/roussos_2024/variant_figures/roussos_2024.childhood.GLU/rs816012_count_position.png",4,220,900)</f>
        <v/>
      </c>
      <c r="T3506">
        <f>IMAGE("https://mitra.stanford.edu/kundaje/oak/projects/neuro-variants/variant_position/credible/roussos_2024/variant_figures/roussos_2024.childhood.GLU/rs816012_profile_position.png",4,220,900)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-0.0037181164</v>
      </c>
      <c r="G3507" t="n">
        <v>0.4990119327543807</v>
      </c>
      <c r="H3507" t="n">
        <v>0.0234977552556304</v>
      </c>
      <c r="I3507" t="n">
        <v>0.0566698255161926</v>
      </c>
      <c r="J3507" t="n">
        <v>0.0733143086733905</v>
      </c>
      <c r="K3507" t="n">
        <v>0.2949958145136352</v>
      </c>
      <c r="L3507" t="b">
        <v>0</v>
      </c>
      <c r="M3507" t="b">
        <v>0</v>
      </c>
      <c r="N3507" t="inlineStr">
        <is>
          <t>ref</t>
        </is>
      </c>
      <c r="O3507" t="n">
        <v>45</v>
      </c>
      <c r="P3507" t="n">
        <v>0.0369</v>
      </c>
      <c r="Q3507" t="n">
        <v>45</v>
      </c>
      <c r="R3507" t="n">
        <v>0.223</v>
      </c>
      <c r="S3507">
        <f>IMAGE("https://mitra.stanford.edu/kundaje/oak/projects/neuro-variants/variant_position/credible/roussos_2024/variant_figures/roussos_2024.childhood.GLU/rs4958355_count_position.png",4,220,900)</f>
        <v/>
      </c>
      <c r="T3507">
        <f>IMAGE("https://mitra.stanford.edu/kundaje/oak/projects/neuro-variants/variant_position/credible/roussos_2024/variant_figures/roussos_2024.childhood.GLU/rs4958355_profile_position.png",4,220,900)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0.003832659</v>
      </c>
      <c r="G3508" t="n">
        <v>0.4329969313603669</v>
      </c>
      <c r="H3508" t="n">
        <v>0.0129883814797255</v>
      </c>
      <c r="I3508" t="n">
        <v>0.3735012072132819</v>
      </c>
      <c r="J3508" t="n">
        <v>0.0104041538318892</v>
      </c>
      <c r="K3508" t="n">
        <v>0.5796561343949148</v>
      </c>
      <c r="L3508" t="b">
        <v>0</v>
      </c>
      <c r="M3508" t="b">
        <v>0</v>
      </c>
      <c r="N3508" t="inlineStr">
        <is>
          <t>alt</t>
        </is>
      </c>
      <c r="O3508" t="n">
        <v>-30</v>
      </c>
      <c r="P3508" t="n">
        <v>0.0005493</v>
      </c>
      <c r="Q3508" t="n">
        <v>65</v>
      </c>
      <c r="R3508" t="n">
        <v>0.09106</v>
      </c>
      <c r="S3508">
        <f>IMAGE("https://mitra.stanford.edu/kundaje/oak/projects/neuro-variants/variant_position/credible/roussos_2024/variant_figures/roussos_2024.childhood.GLU/rs815620_count_position.png",4,220,900)</f>
        <v/>
      </c>
      <c r="T3508">
        <f>IMAGE("https://mitra.stanford.edu/kundaje/oak/projects/neuro-variants/variant_position/credible/roussos_2024/variant_figures/roussos_2024.childhood.GLU/rs815620_profile_position.png",4,220,900)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0.274143748</v>
      </c>
      <c r="G3509" t="n">
        <v>0.0028399139723139</v>
      </c>
      <c r="H3509" t="n">
        <v>0.0323188282298973</v>
      </c>
      <c r="I3509" t="n">
        <v>0.0158451831768754</v>
      </c>
      <c r="J3509" t="n">
        <v>0.4757044103557336</v>
      </c>
      <c r="K3509" t="n">
        <v>0.0454468991829781</v>
      </c>
      <c r="L3509" t="b">
        <v>1</v>
      </c>
      <c r="M3509" t="b">
        <v>1</v>
      </c>
      <c r="N3509" t="inlineStr">
        <is>
          <t>alt</t>
        </is>
      </c>
      <c r="O3509" t="n">
        <v>70</v>
      </c>
      <c r="P3509" t="n">
        <v>0.0368</v>
      </c>
      <c r="Q3509" t="n">
        <v>-15</v>
      </c>
      <c r="R3509" t="n">
        <v>0.08887</v>
      </c>
      <c r="S3509">
        <f>IMAGE("https://mitra.stanford.edu/kundaje/oak/projects/neuro-variants/variant_position/credible/roussos_2024/variant_figures/roussos_2024.childhood.GLU/rs890799_count_position.png",4,220,900)</f>
        <v/>
      </c>
      <c r="T3509">
        <f>IMAGE("https://mitra.stanford.edu/kundaje/oak/projects/neuro-variants/variant_position/credible/roussos_2024/variant_figures/roussos_2024.childhood.GLU/rs890799_profile_position.png",4,220,900)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0.0100800578</v>
      </c>
      <c r="G3510" t="n">
        <v>0.4479851291874756</v>
      </c>
      <c r="H3510" t="n">
        <v>0.0116560021878728</v>
      </c>
      <c r="I3510" t="n">
        <v>0.4870344741780597</v>
      </c>
      <c r="J3510" t="n">
        <v>0.0392543294837586</v>
      </c>
      <c r="K3510" t="n">
        <v>0.3936874969871443</v>
      </c>
      <c r="L3510" t="b">
        <v>0</v>
      </c>
      <c r="M3510" t="b">
        <v>0</v>
      </c>
      <c r="N3510" t="inlineStr">
        <is>
          <t>alt</t>
        </is>
      </c>
      <c r="O3510" t="n">
        <v>-75</v>
      </c>
      <c r="P3510" t="n">
        <v>0.005333</v>
      </c>
      <c r="Q3510" t="n">
        <v>-45</v>
      </c>
      <c r="R3510" t="n">
        <v>0.01599</v>
      </c>
      <c r="S3510">
        <f>IMAGE("https://mitra.stanford.edu/kundaje/oak/projects/neuro-variants/variant_position/credible/roussos_2024/variant_figures/roussos_2024.childhood.GLU/rs6580052_count_position.png",4,220,900)</f>
        <v/>
      </c>
      <c r="T3510">
        <f>IMAGE("https://mitra.stanford.edu/kundaje/oak/projects/neuro-variants/variant_position/credible/roussos_2024/variant_figures/roussos_2024.childhood.GLU/rs6580052_profile_position.png",4,220,900)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-0.0453554792</v>
      </c>
      <c r="G3511" t="n">
        <v>0.2074650012310775</v>
      </c>
      <c r="H3511" t="n">
        <v>0.0131918928153984</v>
      </c>
      <c r="I3511" t="n">
        <v>0.3654329333284737</v>
      </c>
      <c r="J3511" t="n">
        <v>0.1319902747586718</v>
      </c>
      <c r="K3511" t="n">
        <v>0.2036078956947512</v>
      </c>
      <c r="L3511" t="b">
        <v>0</v>
      </c>
      <c r="M3511" t="b">
        <v>0</v>
      </c>
      <c r="N3511" t="inlineStr">
        <is>
          <t>ref</t>
        </is>
      </c>
      <c r="O3511" t="n">
        <v>100</v>
      </c>
      <c r="P3511" t="n">
        <v>0.01468</v>
      </c>
      <c r="Q3511" t="n">
        <v>100</v>
      </c>
      <c r="R3511" t="n">
        <v>0.2554</v>
      </c>
      <c r="S3511">
        <f>IMAGE("https://mitra.stanford.edu/kundaje/oak/projects/neuro-variants/variant_position/credible/roussos_2024/variant_figures/roussos_2024.childhood.GLU/rs1428122_count_position.png",4,220,900)</f>
        <v/>
      </c>
      <c r="T3511">
        <f>IMAGE("https://mitra.stanford.edu/kundaje/oak/projects/neuro-variants/variant_position/credible/roussos_2024/variant_figures/roussos_2024.childhood.GLU/rs1428122_profile_position.png",4,220,900)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0.11023416</v>
      </c>
      <c r="G3512" t="n">
        <v>0.0389171204287103</v>
      </c>
      <c r="H3512" t="n">
        <v>0.0272422963193298</v>
      </c>
      <c r="I3512" t="n">
        <v>0.0340316838002559</v>
      </c>
      <c r="J3512" t="n">
        <v>0.0317203581031658</v>
      </c>
      <c r="K3512" t="n">
        <v>0.4237147044844395</v>
      </c>
      <c r="L3512" t="b">
        <v>0</v>
      </c>
      <c r="M3512" t="b">
        <v>0</v>
      </c>
      <c r="N3512" t="inlineStr">
        <is>
          <t>alt</t>
        </is>
      </c>
      <c r="O3512" t="n">
        <v>10</v>
      </c>
      <c r="P3512" t="n">
        <v>0.001404</v>
      </c>
      <c r="Q3512" t="n">
        <v>10</v>
      </c>
      <c r="R3512" t="n">
        <v>0.02722</v>
      </c>
      <c r="S3512">
        <f>IMAGE("https://mitra.stanford.edu/kundaje/oak/projects/neuro-variants/variant_position/credible/roussos_2024/variant_figures/roussos_2024.childhood.GLU/rs77075605_count_position.png",4,220,900)</f>
        <v/>
      </c>
      <c r="T3512">
        <f>IMAGE("https://mitra.stanford.edu/kundaje/oak/projects/neuro-variants/variant_position/credible/roussos_2024/variant_figures/roussos_2024.childhood.GLU/rs77075605_profile_position.png",4,220,900)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-0.0237094205999999</v>
      </c>
      <c r="G3513" t="n">
        <v>0.4334490707457019</v>
      </c>
      <c r="H3513" t="n">
        <v>0.0126200769765479</v>
      </c>
      <c r="I3513" t="n">
        <v>0.3904416158977255</v>
      </c>
      <c r="J3513" t="n">
        <v>0.4472209916861548</v>
      </c>
      <c r="K3513" t="n">
        <v>0.0532315773432964</v>
      </c>
      <c r="L3513" t="b">
        <v>0</v>
      </c>
      <c r="M3513" t="b">
        <v>0</v>
      </c>
      <c r="N3513" t="inlineStr">
        <is>
          <t>ref</t>
        </is>
      </c>
      <c r="O3513" t="n">
        <v>100</v>
      </c>
      <c r="P3513" t="n">
        <v>0.00842</v>
      </c>
      <c r="Q3513" t="n">
        <v>95</v>
      </c>
      <c r="R3513" t="n">
        <v>0.08450000000000001</v>
      </c>
      <c r="S3513">
        <f>IMAGE("https://mitra.stanford.edu/kundaje/oak/projects/neuro-variants/variant_position/credible/roussos_2024/variant_figures/roussos_2024.childhood.GLU/rs80336253_count_position.png",4,220,900)</f>
        <v/>
      </c>
      <c r="T3513">
        <f>IMAGE("https://mitra.stanford.edu/kundaje/oak/projects/neuro-variants/variant_position/credible/roussos_2024/variant_figures/roussos_2024.childhood.GLU/rs80336253_profile_position.png",4,220,900)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0.1202299272</v>
      </c>
      <c r="G3514" t="n">
        <v>0.0293562211385358</v>
      </c>
      <c r="H3514" t="n">
        <v>0.0200580750301845</v>
      </c>
      <c r="I3514" t="n">
        <v>0.1047688267253916</v>
      </c>
      <c r="J3514" t="n">
        <v>0.162581515860179</v>
      </c>
      <c r="K3514" t="n">
        <v>0.1770806913089196</v>
      </c>
      <c r="L3514" t="b">
        <v>0</v>
      </c>
      <c r="M3514" t="b">
        <v>0</v>
      </c>
      <c r="N3514" t="inlineStr">
        <is>
          <t>alt</t>
        </is>
      </c>
      <c r="O3514" t="n">
        <v>0</v>
      </c>
      <c r="P3514" t="n">
        <v>0</v>
      </c>
      <c r="Q3514" t="n">
        <v>-60</v>
      </c>
      <c r="R3514" t="n">
        <v>0.0791</v>
      </c>
      <c r="S3514">
        <f>IMAGE("https://mitra.stanford.edu/kundaje/oak/projects/neuro-variants/variant_position/credible/roussos_2024/variant_figures/roussos_2024.childhood.GLU/rs73802964_count_position.png",4,220,900)</f>
        <v/>
      </c>
      <c r="T3514">
        <f>IMAGE("https://mitra.stanford.edu/kundaje/oak/projects/neuro-variants/variant_position/credible/roussos_2024/variant_figures/roussos_2024.childhood.GLU/rs73802964_profile_position.png",4,220,900)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0.00884193112</v>
      </c>
      <c r="G3515" t="n">
        <v>0.6413566911542384</v>
      </c>
      <c r="H3515" t="n">
        <v>0.009888769866398601</v>
      </c>
      <c r="I3515" t="n">
        <v>0.6692935728722667</v>
      </c>
      <c r="J3515" t="n">
        <v>0.0290860951713764</v>
      </c>
      <c r="K3515" t="n">
        <v>0.431860118348821</v>
      </c>
      <c r="L3515" t="b">
        <v>0</v>
      </c>
      <c r="M3515" t="b">
        <v>0</v>
      </c>
      <c r="N3515" t="inlineStr">
        <is>
          <t>alt</t>
        </is>
      </c>
      <c r="O3515" t="n">
        <v>0</v>
      </c>
      <c r="P3515" t="n">
        <v>0</v>
      </c>
      <c r="Q3515" t="n">
        <v>-10</v>
      </c>
      <c r="R3515" t="n">
        <v>0.03015</v>
      </c>
      <c r="S3515">
        <f>IMAGE("https://mitra.stanford.edu/kundaje/oak/projects/neuro-variants/variant_position/credible/roussos_2024/variant_figures/roussos_2024.childhood.GLU/rs73802970_count_position.png",4,220,900)</f>
        <v/>
      </c>
      <c r="T3515">
        <f>IMAGE("https://mitra.stanford.edu/kundaje/oak/projects/neuro-variants/variant_position/credible/roussos_2024/variant_figures/roussos_2024.childhood.GLU/rs73802970_profile_position.png",4,220,900)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0.006095798896</v>
      </c>
      <c r="G3516" t="n">
        <v>0.772150033507335</v>
      </c>
      <c r="H3516" t="n">
        <v>0.0229251479292157</v>
      </c>
      <c r="I3516" t="n">
        <v>0.0594087989607103</v>
      </c>
      <c r="J3516" t="n">
        <v>0.0008334449400928</v>
      </c>
      <c r="K3516" t="n">
        <v>0.8420635400303039</v>
      </c>
      <c r="L3516" t="b">
        <v>0</v>
      </c>
      <c r="M3516" t="b">
        <v>0</v>
      </c>
      <c r="N3516" t="inlineStr">
        <is>
          <t>alt</t>
        </is>
      </c>
      <c r="O3516" t="n">
        <v>-100</v>
      </c>
      <c r="P3516" t="n">
        <v>0.11884</v>
      </c>
      <c r="Q3516" t="n">
        <v>85</v>
      </c>
      <c r="R3516" t="n">
        <v>0.063</v>
      </c>
      <c r="S3516">
        <f>IMAGE("https://mitra.stanford.edu/kundaje/oak/projects/neuro-variants/variant_position/credible/roussos_2024/variant_figures/roussos_2024.childhood.GLU/rs531293_count_position.png",4,220,900)</f>
        <v/>
      </c>
      <c r="T3516">
        <f>IMAGE("https://mitra.stanford.edu/kundaje/oak/projects/neuro-variants/variant_position/credible/roussos_2024/variant_figures/roussos_2024.childhood.GLU/rs531293_profile_position.png",4,220,900)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0.0549593628</v>
      </c>
      <c r="G3517" t="n">
        <v>0.151131395135647</v>
      </c>
      <c r="H3517" t="n">
        <v>0.012056511848323</v>
      </c>
      <c r="I3517" t="n">
        <v>0.4465949226241544</v>
      </c>
      <c r="J3517" t="n">
        <v>0.1169285132949405</v>
      </c>
      <c r="K3517" t="n">
        <v>0.2204323703386464</v>
      </c>
      <c r="L3517" t="b">
        <v>0</v>
      </c>
      <c r="M3517" t="b">
        <v>0</v>
      </c>
      <c r="N3517" t="inlineStr">
        <is>
          <t>alt</t>
        </is>
      </c>
      <c r="O3517" t="n">
        <v>-95</v>
      </c>
      <c r="P3517" t="n">
        <v>0.00621</v>
      </c>
      <c r="Q3517" t="n">
        <v>-25</v>
      </c>
      <c r="R3517" t="n">
        <v>0.0415</v>
      </c>
      <c r="S3517">
        <f>IMAGE("https://mitra.stanford.edu/kundaje/oak/projects/neuro-variants/variant_position/credible/roussos_2024/variant_figures/roussos_2024.childhood.GLU/rs2434528_count_position.png",4,220,900)</f>
        <v/>
      </c>
      <c r="T3517">
        <f>IMAGE("https://mitra.stanford.edu/kundaje/oak/projects/neuro-variants/variant_position/credible/roussos_2024/variant_figures/roussos_2024.childhood.GLU/rs2434528_profile_position.png",4,220,900)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-0.135892358</v>
      </c>
      <c r="G3518" t="n">
        <v>0.0243523752091556</v>
      </c>
      <c r="H3518" t="n">
        <v>0.0222332408978944</v>
      </c>
      <c r="I3518" t="n">
        <v>0.06995884201274651</v>
      </c>
      <c r="J3518" t="n">
        <v>0.0308075865124089</v>
      </c>
      <c r="K3518" t="n">
        <v>0.423848623152771</v>
      </c>
      <c r="L3518" t="b">
        <v>0</v>
      </c>
      <c r="M3518" t="b">
        <v>0</v>
      </c>
      <c r="N3518" t="inlineStr">
        <is>
          <t>ref</t>
        </is>
      </c>
      <c r="O3518" t="n">
        <v>-70</v>
      </c>
      <c r="P3518" t="n">
        <v>0.003479</v>
      </c>
      <c r="Q3518" t="n">
        <v>-55</v>
      </c>
      <c r="R3518" t="n">
        <v>0.0663</v>
      </c>
      <c r="S3518">
        <f>IMAGE("https://mitra.stanford.edu/kundaje/oak/projects/neuro-variants/variant_position/credible/roussos_2024/variant_figures/roussos_2024.childhood.GLU/rs2434535_count_position.png",4,220,900)</f>
        <v/>
      </c>
      <c r="T3518">
        <f>IMAGE("https://mitra.stanford.edu/kundaje/oak/projects/neuro-variants/variant_position/credible/roussos_2024/variant_figures/roussos_2024.childhood.GLU/rs2434535_profile_position.png",4,220,900)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-0.0806248156</v>
      </c>
      <c r="G3519" t="n">
        <v>0.08615770274647699</v>
      </c>
      <c r="H3519" t="n">
        <v>0.0189957516050196</v>
      </c>
      <c r="I3519" t="n">
        <v>0.1328320611201024</v>
      </c>
      <c r="J3519" t="n">
        <v>0.0464266949632727</v>
      </c>
      <c r="K3519" t="n">
        <v>0.3692921590825467</v>
      </c>
      <c r="L3519" t="b">
        <v>0</v>
      </c>
      <c r="M3519" t="b">
        <v>0</v>
      </c>
      <c r="N3519" t="inlineStr">
        <is>
          <t>ref</t>
        </is>
      </c>
      <c r="O3519" t="n">
        <v>15</v>
      </c>
      <c r="P3519" t="n">
        <v>0.0005493</v>
      </c>
      <c r="Q3519" t="n">
        <v>85</v>
      </c>
      <c r="R3519" t="n">
        <v>0.1265</v>
      </c>
      <c r="S3519">
        <f>IMAGE("https://mitra.stanford.edu/kundaje/oak/projects/neuro-variants/variant_position/credible/roussos_2024/variant_figures/roussos_2024.childhood.GLU/rs693446_count_position.png",4,220,900)</f>
        <v/>
      </c>
      <c r="T3519">
        <f>IMAGE("https://mitra.stanford.edu/kundaje/oak/projects/neuro-variants/variant_position/credible/roussos_2024/variant_figures/roussos_2024.childhood.GLU/rs693446_profile_position.png",4,220,900)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-0.0002279895999999</v>
      </c>
      <c r="G3520" t="n">
        <v>0.3292073513919969</v>
      </c>
      <c r="H3520" t="n">
        <v>0.0106276382501135</v>
      </c>
      <c r="I3520" t="n">
        <v>0.5811088082586006</v>
      </c>
      <c r="J3520" t="n">
        <v>0.1086507257873427</v>
      </c>
      <c r="K3520" t="n">
        <v>0.2336189202194191</v>
      </c>
      <c r="L3520" t="b">
        <v>0</v>
      </c>
      <c r="M3520" t="b">
        <v>0</v>
      </c>
      <c r="N3520" t="inlineStr">
        <is>
          <t>ref</t>
        </is>
      </c>
      <c r="O3520" t="n">
        <v>-75</v>
      </c>
      <c r="P3520" t="n">
        <v>0.00346</v>
      </c>
      <c r="Q3520" t="n">
        <v>40</v>
      </c>
      <c r="R3520" t="n">
        <v>0.03552</v>
      </c>
      <c r="S3520">
        <f>IMAGE("https://mitra.stanford.edu/kundaje/oak/projects/neuro-variants/variant_position/credible/roussos_2024/variant_figures/roussos_2024.childhood.GLU/rs73281462_count_position.png",4,220,900)</f>
        <v/>
      </c>
      <c r="T3520">
        <f>IMAGE("https://mitra.stanford.edu/kundaje/oak/projects/neuro-variants/variant_position/credible/roussos_2024/variant_figures/roussos_2024.childhood.GLU/rs73281462_profile_position.png",4,220,900)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0.01231658146</v>
      </c>
      <c r="G3521" t="n">
        <v>0.5868798751299621</v>
      </c>
      <c r="H3521" t="n">
        <v>0.022758856374608</v>
      </c>
      <c r="I3521" t="n">
        <v>0.0620414817301082</v>
      </c>
      <c r="J3521" t="n">
        <v>0.09972802291200911</v>
      </c>
      <c r="K3521" t="n">
        <v>0.2492919410361084</v>
      </c>
      <c r="L3521" t="b">
        <v>0</v>
      </c>
      <c r="M3521" t="b">
        <v>0</v>
      </c>
      <c r="N3521" t="inlineStr">
        <is>
          <t>alt</t>
        </is>
      </c>
      <c r="O3521" t="n">
        <v>-60</v>
      </c>
      <c r="P3521" t="n">
        <v>0.006706</v>
      </c>
      <c r="Q3521" t="n">
        <v>85</v>
      </c>
      <c r="R3521" t="n">
        <v>0.07837</v>
      </c>
      <c r="S3521">
        <f>IMAGE("https://mitra.stanford.edu/kundaje/oak/projects/neuro-variants/variant_position/credible/roussos_2024/variant_figures/roussos_2024.childhood.GLU/rs73281464_count_position.png",4,220,900)</f>
        <v/>
      </c>
      <c r="T3521">
        <f>IMAGE("https://mitra.stanford.edu/kundaje/oak/projects/neuro-variants/variant_position/credible/roussos_2024/variant_figures/roussos_2024.childhood.GLU/rs73281464_profile_position.png",4,220,900)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-0.1004466443999999</v>
      </c>
      <c r="G3522" t="n">
        <v>0.0441979648366738</v>
      </c>
      <c r="H3522" t="n">
        <v>0.0113554780650249</v>
      </c>
      <c r="I3522" t="n">
        <v>0.5148686400896443</v>
      </c>
      <c r="J3522" t="n">
        <v>0.0148011167544067</v>
      </c>
      <c r="K3522" t="n">
        <v>0.5385490481631461</v>
      </c>
      <c r="L3522" t="b">
        <v>0</v>
      </c>
      <c r="M3522" t="b">
        <v>0</v>
      </c>
      <c r="N3522" t="inlineStr">
        <is>
          <t>ref</t>
        </is>
      </c>
      <c r="O3522" t="n">
        <v>100</v>
      </c>
      <c r="P3522" t="n">
        <v>0.006065</v>
      </c>
      <c r="Q3522" t="n">
        <v>60</v>
      </c>
      <c r="R3522" t="n">
        <v>0.05988</v>
      </c>
      <c r="S3522">
        <f>IMAGE("https://mitra.stanford.edu/kundaje/oak/projects/neuro-variants/variant_position/credible/roussos_2024/variant_figures/roussos_2024.childhood.GLU/rs73279685_count_position.png",4,220,900)</f>
        <v/>
      </c>
      <c r="T3522">
        <f>IMAGE("https://mitra.stanford.edu/kundaje/oak/projects/neuro-variants/variant_position/credible/roussos_2024/variant_figures/roussos_2024.childhood.GLU/rs73279685_profile_position.png",4,220,900)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-0.0027813042</v>
      </c>
      <c r="G3523" t="n">
        <v>0.882972896265142</v>
      </c>
      <c r="H3523" t="n">
        <v>0.0198309767741794</v>
      </c>
      <c r="I3523" t="n">
        <v>0.1010782515783569</v>
      </c>
      <c r="J3523" t="n">
        <v>0.1182049512192608</v>
      </c>
      <c r="K3523" t="n">
        <v>0.2237918105104646</v>
      </c>
      <c r="L3523" t="b">
        <v>0</v>
      </c>
      <c r="M3523" t="b">
        <v>0</v>
      </c>
      <c r="N3523" t="inlineStr">
        <is>
          <t>ref</t>
        </is>
      </c>
      <c r="O3523" t="n">
        <v>-60</v>
      </c>
      <c r="P3523" t="n">
        <v>0.003582</v>
      </c>
      <c r="Q3523" t="n">
        <v>-25</v>
      </c>
      <c r="R3523" t="n">
        <v>0.03253</v>
      </c>
      <c r="S3523">
        <f>IMAGE("https://mitra.stanford.edu/kundaje/oak/projects/neuro-variants/variant_position/credible/roussos_2024/variant_figures/roussos_2024.childhood.GLU/rs7702643_count_position.png",4,220,900)</f>
        <v/>
      </c>
      <c r="T3523">
        <f>IMAGE("https://mitra.stanford.edu/kundaje/oak/projects/neuro-variants/variant_position/credible/roussos_2024/variant_figures/roussos_2024.childhood.GLU/rs7702643_profile_position.png",4,220,900)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-0.0741656802</v>
      </c>
      <c r="G3524" t="n">
        <v>0.0934002786429971</v>
      </c>
      <c r="H3524" t="n">
        <v>0.0133511948328129</v>
      </c>
      <c r="I3524" t="n">
        <v>0.346399050071595</v>
      </c>
      <c r="J3524" t="n">
        <v>0.08575313958399861</v>
      </c>
      <c r="K3524" t="n">
        <v>0.2704334778037497</v>
      </c>
      <c r="L3524" t="b">
        <v>0</v>
      </c>
      <c r="M3524" t="b">
        <v>0</v>
      </c>
      <c r="N3524" t="inlineStr">
        <is>
          <t>ref</t>
        </is>
      </c>
      <c r="O3524" t="n">
        <v>-5</v>
      </c>
      <c r="P3524" t="n">
        <v>0.00251</v>
      </c>
      <c r="Q3524" t="n">
        <v>85</v>
      </c>
      <c r="R3524" t="n">
        <v>0.0708</v>
      </c>
      <c r="S3524">
        <f>IMAGE("https://mitra.stanford.edu/kundaje/oak/projects/neuro-variants/variant_position/credible/roussos_2024/variant_figures/roussos_2024.childhood.GLU/rs6556578_count_position.png",4,220,900)</f>
        <v/>
      </c>
      <c r="T3524">
        <f>IMAGE("https://mitra.stanford.edu/kundaje/oak/projects/neuro-variants/variant_position/credible/roussos_2024/variant_figures/roussos_2024.childhood.GLU/rs6556578_profile_position.png",4,220,900)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0.0514653091999999</v>
      </c>
      <c r="G3525" t="n">
        <v>0.1756648625238342</v>
      </c>
      <c r="H3525" t="n">
        <v>0.018226391874744</v>
      </c>
      <c r="I3525" t="n">
        <v>0.1383891077905472</v>
      </c>
      <c r="J3525" t="n">
        <v>0.0487354095624671</v>
      </c>
      <c r="K3525" t="n">
        <v>0.36141337059496</v>
      </c>
      <c r="L3525" t="b">
        <v>0</v>
      </c>
      <c r="M3525" t="b">
        <v>0</v>
      </c>
      <c r="N3525" t="inlineStr">
        <is>
          <t>alt</t>
        </is>
      </c>
      <c r="O3525" t="n">
        <v>100</v>
      </c>
      <c r="P3525" t="n">
        <v>0.001644</v>
      </c>
      <c r="Q3525" t="n">
        <v>50</v>
      </c>
      <c r="R3525" t="n">
        <v>0.06726</v>
      </c>
      <c r="S3525">
        <f>IMAGE("https://mitra.stanford.edu/kundaje/oak/projects/neuro-variants/variant_position/credible/roussos_2024/variant_figures/roussos_2024.childhood.GLU/rs10036164_count_position.png",4,220,900)</f>
        <v/>
      </c>
      <c r="T3525">
        <f>IMAGE("https://mitra.stanford.edu/kundaje/oak/projects/neuro-variants/variant_position/credible/roussos_2024/variant_figures/roussos_2024.childhood.GLU/rs10036164_profile_position.png",4,220,900)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-0.094849822</v>
      </c>
      <c r="G3526" t="n">
        <v>0.0517717696711529</v>
      </c>
      <c r="H3526" t="n">
        <v>0.0190787801679179</v>
      </c>
      <c r="I3526" t="n">
        <v>0.1148368566553827</v>
      </c>
      <c r="J3526" t="n">
        <v>0.3254288275108945</v>
      </c>
      <c r="K3526" t="n">
        <v>0.0870382564995026</v>
      </c>
      <c r="L3526" t="b">
        <v>0</v>
      </c>
      <c r="M3526" t="b">
        <v>0</v>
      </c>
      <c r="N3526" t="inlineStr">
        <is>
          <t>ref</t>
        </is>
      </c>
      <c r="O3526" t="n">
        <v>15</v>
      </c>
      <c r="P3526" t="n">
        <v>0.006653</v>
      </c>
      <c r="Q3526" t="n">
        <v>-30</v>
      </c>
      <c r="R3526" t="n">
        <v>0.0762</v>
      </c>
      <c r="S3526">
        <f>IMAGE("https://mitra.stanford.edu/kundaje/oak/projects/neuro-variants/variant_position/credible/roussos_2024/variant_figures/roussos_2024.childhood.GLU/rs35414747_count_position.png",4,220,900)</f>
        <v/>
      </c>
      <c r="T3526">
        <f>IMAGE("https://mitra.stanford.edu/kundaje/oak/projects/neuro-variants/variant_position/credible/roussos_2024/variant_figures/roussos_2024.childhood.GLU/rs35414747_profile_position.png",4,220,900)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-0.005568701404</v>
      </c>
      <c r="G3527" t="n">
        <v>0.799388409338356</v>
      </c>
      <c r="H3527" t="n">
        <v>0.0185654006738886</v>
      </c>
      <c r="I3527" t="n">
        <v>0.1264025223916287</v>
      </c>
      <c r="J3527" t="n">
        <v>0.3199408655876868</v>
      </c>
      <c r="K3527" t="n">
        <v>0.08945958180934301</v>
      </c>
      <c r="L3527" t="b">
        <v>0</v>
      </c>
      <c r="M3527" t="b">
        <v>0</v>
      </c>
      <c r="N3527" t="inlineStr">
        <is>
          <t>ref</t>
        </is>
      </c>
      <c r="O3527" t="n">
        <v>-85</v>
      </c>
      <c r="P3527" t="n">
        <v>0.02202</v>
      </c>
      <c r="Q3527" t="n">
        <v>-45</v>
      </c>
      <c r="R3527" t="n">
        <v>0.05405</v>
      </c>
      <c r="S3527">
        <f>IMAGE("https://mitra.stanford.edu/kundaje/oak/projects/neuro-variants/variant_position/credible/roussos_2024/variant_figures/roussos_2024.childhood.GLU/rs9367911_count_position.png",4,220,900)</f>
        <v/>
      </c>
      <c r="T3527">
        <f>IMAGE("https://mitra.stanford.edu/kundaje/oak/projects/neuro-variants/variant_position/credible/roussos_2024/variant_figures/roussos_2024.childhood.GLU/rs9367911_profile_position.png",4,220,900)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-0.00518399922</v>
      </c>
      <c r="G3528" t="n">
        <v>0.4939981003569637</v>
      </c>
      <c r="H3528" t="n">
        <v>0.0115337269365757</v>
      </c>
      <c r="I3528" t="n">
        <v>0.491641280118984</v>
      </c>
      <c r="J3528" t="n">
        <v>0.5789228058969578</v>
      </c>
      <c r="K3528" t="n">
        <v>0.0295343450587164</v>
      </c>
      <c r="L3528" t="b">
        <v>0</v>
      </c>
      <c r="M3528" t="b">
        <v>0</v>
      </c>
      <c r="N3528" t="inlineStr">
        <is>
          <t>ref</t>
        </is>
      </c>
      <c r="O3528" t="n">
        <v>100</v>
      </c>
      <c r="P3528" t="n">
        <v>0.0228</v>
      </c>
      <c r="Q3528" t="n">
        <v>85</v>
      </c>
      <c r="R3528" t="n">
        <v>0.3127</v>
      </c>
      <c r="S3528">
        <f>IMAGE("https://mitra.stanford.edu/kundaje/oak/projects/neuro-variants/variant_position/credible/roussos_2024/variant_figures/roussos_2024.childhood.GLU/rs2857504_count_position.png",4,220,900)</f>
        <v/>
      </c>
      <c r="T3528">
        <f>IMAGE("https://mitra.stanford.edu/kundaje/oak/projects/neuro-variants/variant_position/credible/roussos_2024/variant_figures/roussos_2024.childhood.GLU/rs2857504_profile_position.png",4,220,900)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0.0455057802</v>
      </c>
      <c r="G3529" t="n">
        <v>0.2011502804837594</v>
      </c>
      <c r="H3529" t="n">
        <v>0.0132666511389842</v>
      </c>
      <c r="I3529" t="n">
        <v>0.3497091560713532</v>
      </c>
      <c r="J3529" t="n">
        <v>0.5520393130518096</v>
      </c>
      <c r="K3529" t="n">
        <v>0.033435452070413</v>
      </c>
      <c r="L3529" t="b">
        <v>0</v>
      </c>
      <c r="M3529" t="b">
        <v>0</v>
      </c>
      <c r="N3529" t="inlineStr">
        <is>
          <t>alt</t>
        </is>
      </c>
      <c r="O3529" t="n">
        <v>30</v>
      </c>
      <c r="P3529" t="n">
        <v>0.000454</v>
      </c>
      <c r="Q3529" t="n">
        <v>90</v>
      </c>
      <c r="R3529" t="n">
        <v>0.1724</v>
      </c>
      <c r="S3529">
        <f>IMAGE("https://mitra.stanford.edu/kundaje/oak/projects/neuro-variants/variant_position/credible/roussos_2024/variant_figures/roussos_2024.childhood.GLU/rs2245173_count_position.png",4,220,900)</f>
        <v/>
      </c>
      <c r="T3529">
        <f>IMAGE("https://mitra.stanford.edu/kundaje/oak/projects/neuro-variants/variant_position/credible/roussos_2024/variant_figures/roussos_2024.childhood.GLU/rs2245173_profile_position.png",4,220,900)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-0.0026367147999999</v>
      </c>
      <c r="G3530" t="n">
        <v>0.7994138945728745</v>
      </c>
      <c r="H3530" t="n">
        <v>0.0241121991566466</v>
      </c>
      <c r="I3530" t="n">
        <v>0.0516462649195928</v>
      </c>
      <c r="J3530" t="n">
        <v>0.6770354497409006</v>
      </c>
      <c r="K3530" t="n">
        <v>0.017259098177429</v>
      </c>
      <c r="L3530" t="b">
        <v>0</v>
      </c>
      <c r="M3530" t="b">
        <v>0</v>
      </c>
      <c r="N3530" t="inlineStr">
        <is>
          <t>ref</t>
        </is>
      </c>
      <c r="O3530" t="n">
        <v>100</v>
      </c>
      <c r="P3530" t="n">
        <v>0.009705</v>
      </c>
      <c r="Q3530" t="n">
        <v>-100</v>
      </c>
      <c r="R3530" t="n">
        <v>0.2465</v>
      </c>
      <c r="S3530">
        <f>IMAGE("https://mitra.stanford.edu/kundaje/oak/projects/neuro-variants/variant_position/credible/roussos_2024/variant_figures/roussos_2024.childhood.GLU/rs2857513_count_position.png",4,220,900)</f>
        <v/>
      </c>
      <c r="T3530">
        <f>IMAGE("https://mitra.stanford.edu/kundaje/oak/projects/neuro-variants/variant_position/credible/roussos_2024/variant_figures/roussos_2024.childhood.GLU/rs2857513_profile_position.png",4,220,900)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0.165805739</v>
      </c>
      <c r="G3531" t="n">
        <v>0.0139684556395847</v>
      </c>
      <c r="H3531" t="n">
        <v>0.0376898695898226</v>
      </c>
      <c r="I3531" t="n">
        <v>0.0092709170113567</v>
      </c>
      <c r="J3531" t="n">
        <v>0.2271554699331389</v>
      </c>
      <c r="K3531" t="n">
        <v>0.1317621962338714</v>
      </c>
      <c r="L3531" t="b">
        <v>1</v>
      </c>
      <c r="M3531" t="b">
        <v>1</v>
      </c>
      <c r="N3531" t="inlineStr">
        <is>
          <t>alt</t>
        </is>
      </c>
      <c r="O3531" t="n">
        <v>90</v>
      </c>
      <c r="P3531" t="n">
        <v>0.0002823</v>
      </c>
      <c r="Q3531" t="n">
        <v>-20</v>
      </c>
      <c r="R3531" t="n">
        <v>0.02759</v>
      </c>
      <c r="S3531">
        <f>IMAGE("https://mitra.stanford.edu/kundaje/oak/projects/neuro-variants/variant_position/credible/roussos_2024/variant_figures/roussos_2024.childhood.GLU/rs13195969_count_position.png",4,220,900)</f>
        <v/>
      </c>
      <c r="T3531">
        <f>IMAGE("https://mitra.stanford.edu/kundaje/oak/projects/neuro-variants/variant_position/credible/roussos_2024/variant_figures/roussos_2024.childhood.GLU/rs13195969_profile_position.png",4,220,900)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-0.0359738186</v>
      </c>
      <c r="G3532" t="n">
        <v>0.2883482910735007</v>
      </c>
      <c r="H3532" t="n">
        <v>0.0351367045581332</v>
      </c>
      <c r="I3532" t="n">
        <v>0.0116821893909487</v>
      </c>
      <c r="J3532" t="n">
        <v>0.1281568401207413</v>
      </c>
      <c r="K3532" t="n">
        <v>0.2094878921935036</v>
      </c>
      <c r="L3532" t="b">
        <v>1</v>
      </c>
      <c r="M3532" t="b">
        <v>0</v>
      </c>
      <c r="N3532" t="inlineStr">
        <is>
          <t>ref</t>
        </is>
      </c>
      <c r="O3532" t="n">
        <v>-80</v>
      </c>
      <c r="P3532" t="n">
        <v>0.01245</v>
      </c>
      <c r="Q3532" t="n">
        <v>-85</v>
      </c>
      <c r="R3532" t="n">
        <v>0.08594</v>
      </c>
      <c r="S3532">
        <f>IMAGE("https://mitra.stanford.edu/kundaje/oak/projects/neuro-variants/variant_position/credible/roussos_2024/variant_figures/roussos_2024.childhood.GLU/rs56240592_count_position.png",4,220,900)</f>
        <v/>
      </c>
      <c r="T3532">
        <f>IMAGE("https://mitra.stanford.edu/kundaje/oak/projects/neuro-variants/variant_position/credible/roussos_2024/variant_figures/roussos_2024.childhood.GLU/rs56240592_profile_position.png",4,220,900)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0.166040994</v>
      </c>
      <c r="G3533" t="n">
        <v>0.0132101352854316</v>
      </c>
      <c r="H3533" t="n">
        <v>0.0290240863717755</v>
      </c>
      <c r="I3533" t="n">
        <v>0.0272085017371553</v>
      </c>
      <c r="J3533" t="n">
        <v>0.0451337735790742</v>
      </c>
      <c r="K3533" t="n">
        <v>0.3690686093253457</v>
      </c>
      <c r="L3533" t="b">
        <v>1</v>
      </c>
      <c r="M3533" t="b">
        <v>0</v>
      </c>
      <c r="N3533" t="inlineStr">
        <is>
          <t>alt</t>
        </is>
      </c>
      <c r="O3533" t="n">
        <v>10</v>
      </c>
      <c r="P3533" t="n">
        <v>0.001801</v>
      </c>
      <c r="Q3533" t="n">
        <v>-100</v>
      </c>
      <c r="R3533" t="n">
        <v>0.1277</v>
      </c>
      <c r="S3533">
        <f>IMAGE("https://mitra.stanford.edu/kundaje/oak/projects/neuro-variants/variant_position/credible/roussos_2024/variant_figures/roussos_2024.childhood.GLU/rs9463650_count_position.png",4,220,900)</f>
        <v/>
      </c>
      <c r="T3533">
        <f>IMAGE("https://mitra.stanford.edu/kundaje/oak/projects/neuro-variants/variant_position/credible/roussos_2024/variant_figures/roussos_2024.childhood.GLU/rs9463650_profile_position.png",4,220,900)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-0.06678820839999999</v>
      </c>
      <c r="G3534" t="n">
        <v>0.1142550776700011</v>
      </c>
      <c r="H3534" t="n">
        <v>0.0161830656920121</v>
      </c>
      <c r="I3534" t="n">
        <v>0.205172826023867</v>
      </c>
      <c r="J3534" t="n">
        <v>0.0009179226719687</v>
      </c>
      <c r="K3534" t="n">
        <v>0.8293062521726531</v>
      </c>
      <c r="L3534" t="b">
        <v>0</v>
      </c>
      <c r="M3534" t="b">
        <v>0</v>
      </c>
      <c r="N3534" t="inlineStr">
        <is>
          <t>ref</t>
        </is>
      </c>
      <c r="O3534" t="n">
        <v>95</v>
      </c>
      <c r="P3534" t="n">
        <v>0.014145</v>
      </c>
      <c r="Q3534" t="n">
        <v>50</v>
      </c>
      <c r="R3534" t="n">
        <v>0.04813</v>
      </c>
      <c r="S3534">
        <f>IMAGE("https://mitra.stanford.edu/kundaje/oak/projects/neuro-variants/variant_position/credible/roussos_2024/variant_figures/roussos_2024.childhood.GLU/rs9463664_count_position.png",4,220,900)</f>
        <v/>
      </c>
      <c r="T3534">
        <f>IMAGE("https://mitra.stanford.edu/kundaje/oak/projects/neuro-variants/variant_position/credible/roussos_2024/variant_figures/roussos_2024.childhood.GLU/rs9463664_profile_position.png",4,220,900)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0.020621004</v>
      </c>
      <c r="G3535" t="n">
        <v>0.4467481577003287</v>
      </c>
      <c r="H3535" t="n">
        <v>0.0170751644353709</v>
      </c>
      <c r="I3535" t="n">
        <v>0.1687915309848585</v>
      </c>
      <c r="J3535" t="n">
        <v>0.0428023942225472</v>
      </c>
      <c r="K3535" t="n">
        <v>0.3738873912533402</v>
      </c>
      <c r="L3535" t="b">
        <v>0</v>
      </c>
      <c r="M3535" t="b">
        <v>0</v>
      </c>
      <c r="N3535" t="inlineStr">
        <is>
          <t>alt</t>
        </is>
      </c>
      <c r="O3535" t="n">
        <v>-100</v>
      </c>
      <c r="P3535" t="n">
        <v>0.009549999999999999</v>
      </c>
      <c r="Q3535" t="n">
        <v>-65</v>
      </c>
      <c r="R3535" t="n">
        <v>0.05872</v>
      </c>
      <c r="S3535">
        <f>IMAGE("https://mitra.stanford.edu/kundaje/oak/projects/neuro-variants/variant_position/credible/roussos_2024/variant_figures/roussos_2024.childhood.GLU/rs2894780_count_position.png",4,220,900)</f>
        <v/>
      </c>
      <c r="T3535">
        <f>IMAGE("https://mitra.stanford.edu/kundaje/oak/projects/neuro-variants/variant_position/credible/roussos_2024/variant_figures/roussos_2024.childhood.GLU/rs2894780_profile_position.png",4,220,900)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-0.0602155688</v>
      </c>
      <c r="G3536" t="n">
        <v>0.1384065920366332</v>
      </c>
      <c r="H3536" t="n">
        <v>0.0193593916506517</v>
      </c>
      <c r="I3536" t="n">
        <v>0.1130930362674074</v>
      </c>
      <c r="J3536" t="n">
        <v>0.025911998928575</v>
      </c>
      <c r="K3536" t="n">
        <v>0.4547844712324523</v>
      </c>
      <c r="L3536" t="b">
        <v>0</v>
      </c>
      <c r="M3536" t="b">
        <v>0</v>
      </c>
      <c r="N3536" t="inlineStr">
        <is>
          <t>ref</t>
        </is>
      </c>
      <c r="O3536" t="n">
        <v>-100</v>
      </c>
      <c r="P3536" t="n">
        <v>0.0498</v>
      </c>
      <c r="Q3536" t="n">
        <v>-80</v>
      </c>
      <c r="R3536" t="n">
        <v>0.1304</v>
      </c>
      <c r="S3536">
        <f>IMAGE("https://mitra.stanford.edu/kundaje/oak/projects/neuro-variants/variant_position/credible/roussos_2024/variant_figures/roussos_2024.childhood.GLU/rs9341835_count_position.png",4,220,900)</f>
        <v/>
      </c>
      <c r="T3536">
        <f>IMAGE("https://mitra.stanford.edu/kundaje/oak/projects/neuro-variants/variant_position/credible/roussos_2024/variant_figures/roussos_2024.childhood.GLU/rs9341835_profile_position.png",4,220,900)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-0.0308988665999999</v>
      </c>
      <c r="G3537" t="n">
        <v>0.3310946319262505</v>
      </c>
      <c r="H3537" t="n">
        <v>0.009794084148442401</v>
      </c>
      <c r="I3537" t="n">
        <v>0.6813456932335112</v>
      </c>
      <c r="J3537" t="n">
        <v>0.2528779090731144</v>
      </c>
      <c r="K3537" t="n">
        <v>0.119883713330117</v>
      </c>
      <c r="L3537" t="b">
        <v>0</v>
      </c>
      <c r="M3537" t="b">
        <v>0</v>
      </c>
      <c r="N3537" t="inlineStr">
        <is>
          <t>ref</t>
        </is>
      </c>
      <c r="O3537" t="n">
        <v>25</v>
      </c>
      <c r="P3537" t="n">
        <v>0.00145</v>
      </c>
      <c r="Q3537" t="n">
        <v>100</v>
      </c>
      <c r="R3537" t="n">
        <v>0.2007</v>
      </c>
      <c r="S3537">
        <f>IMAGE("https://mitra.stanford.edu/kundaje/oak/projects/neuro-variants/variant_position/credible/roussos_2024/variant_figures/roussos_2024.childhood.GLU/rs9344129_count_position.png",4,220,900)</f>
        <v/>
      </c>
      <c r="T3537">
        <f>IMAGE("https://mitra.stanford.edu/kundaje/oak/projects/neuro-variants/variant_position/credible/roussos_2024/variant_figures/roussos_2024.childhood.GLU/rs9344129_profile_position.png",4,220,900)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0.0707571672</v>
      </c>
      <c r="G3538" t="n">
        <v>0.1001428228855041</v>
      </c>
      <c r="H3538" t="n">
        <v>0.0268141408961857</v>
      </c>
      <c r="I3538" t="n">
        <v>0.0347288474484907</v>
      </c>
      <c r="J3538" t="n">
        <v>0.0417515736553102</v>
      </c>
      <c r="K3538" t="n">
        <v>0.3794639105581582</v>
      </c>
      <c r="L3538" t="b">
        <v>0</v>
      </c>
      <c r="M3538" t="b">
        <v>0</v>
      </c>
      <c r="N3538" t="inlineStr">
        <is>
          <t>alt</t>
        </is>
      </c>
      <c r="O3538" t="n">
        <v>-55</v>
      </c>
      <c r="P3538" t="n">
        <v>0.03076</v>
      </c>
      <c r="Q3538" t="n">
        <v>35</v>
      </c>
      <c r="R3538" t="n">
        <v>0.0867</v>
      </c>
      <c r="S3538">
        <f>IMAGE("https://mitra.stanford.edu/kundaje/oak/projects/neuro-variants/variant_position/credible/roussos_2024/variant_figures/roussos_2024.childhood.GLU/rs10943823_count_position.png",4,220,900)</f>
        <v/>
      </c>
      <c r="T3538">
        <f>IMAGE("https://mitra.stanford.edu/kundaje/oak/projects/neuro-variants/variant_position/credible/roussos_2024/variant_figures/roussos_2024.childhood.GLU/rs10943823_profile_position.png",4,220,900)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0.0105761427999999</v>
      </c>
      <c r="G3539" t="n">
        <v>0.4686169344906152</v>
      </c>
      <c r="H3539" t="n">
        <v>0.0083323844580327</v>
      </c>
      <c r="I3539" t="n">
        <v>0.7851707626407297</v>
      </c>
      <c r="J3539" t="n">
        <v>0.09074968835958661</v>
      </c>
      <c r="K3539" t="n">
        <v>0.269784058254414</v>
      </c>
      <c r="L3539" t="b">
        <v>0</v>
      </c>
      <c r="M3539" t="b">
        <v>0</v>
      </c>
      <c r="N3539" t="inlineStr">
        <is>
          <t>alt</t>
        </is>
      </c>
      <c r="O3539" t="n">
        <v>45</v>
      </c>
      <c r="P3539" t="n">
        <v>0.003048</v>
      </c>
      <c r="Q3539" t="n">
        <v>-60</v>
      </c>
      <c r="R3539" t="n">
        <v>0.1272</v>
      </c>
      <c r="S3539">
        <f>IMAGE("https://mitra.stanford.edu/kundaje/oak/projects/neuro-variants/variant_position/credible/roussos_2024/variant_figures/roussos_2024.childhood.GLU/rs2789588_count_position.png",4,220,900)</f>
        <v/>
      </c>
      <c r="T3539">
        <f>IMAGE("https://mitra.stanford.edu/kundaje/oak/projects/neuro-variants/variant_position/credible/roussos_2024/variant_figures/roussos_2024.childhood.GLU/rs2789588_profile_position.png",4,220,900)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0.1317687168</v>
      </c>
      <c r="G3540" t="n">
        <v>0.0232869560934407</v>
      </c>
      <c r="H3540" t="n">
        <v>0.0174275533885933</v>
      </c>
      <c r="I3540" t="n">
        <v>0.1542737809867771</v>
      </c>
      <c r="J3540" t="n">
        <v>0.0062122039416073</v>
      </c>
      <c r="K3540" t="n">
        <v>0.6708593990477695</v>
      </c>
      <c r="L3540" t="b">
        <v>0</v>
      </c>
      <c r="M3540" t="b">
        <v>0</v>
      </c>
      <c r="N3540" t="inlineStr">
        <is>
          <t>alt</t>
        </is>
      </c>
      <c r="O3540" t="n">
        <v>-100</v>
      </c>
      <c r="P3540" t="n">
        <v>0.01293</v>
      </c>
      <c r="Q3540" t="n">
        <v>70</v>
      </c>
      <c r="R3540" t="n">
        <v>0.07530000000000001</v>
      </c>
      <c r="S3540">
        <f>IMAGE("https://mitra.stanford.edu/kundaje/oak/projects/neuro-variants/variant_position/credible/roussos_2024/variant_figures/roussos_2024.childhood.GLU/rs1856507_count_position.png",4,220,900)</f>
        <v/>
      </c>
      <c r="T3540">
        <f>IMAGE("https://mitra.stanford.edu/kundaje/oak/projects/neuro-variants/variant_position/credible/roussos_2024/variant_figures/roussos_2024.childhood.GLU/rs1856507_profile_position.png",4,220,900)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-0.129378442</v>
      </c>
      <c r="G3541" t="n">
        <v>0.0244795891759045</v>
      </c>
      <c r="H3541" t="n">
        <v>0.0200212758921238</v>
      </c>
      <c r="I3541" t="n">
        <v>0.1018237061683348</v>
      </c>
      <c r="J3541" t="n">
        <v>0.024972441715516</v>
      </c>
      <c r="K3541" t="n">
        <v>0.4652887327922536</v>
      </c>
      <c r="L3541" t="b">
        <v>0</v>
      </c>
      <c r="M3541" t="b">
        <v>0</v>
      </c>
      <c r="N3541" t="inlineStr">
        <is>
          <t>ref</t>
        </is>
      </c>
      <c r="O3541" t="n">
        <v>15</v>
      </c>
      <c r="P3541" t="n">
        <v>0.007614</v>
      </c>
      <c r="Q3541" t="n">
        <v>5</v>
      </c>
      <c r="R3541" t="n">
        <v>0.006104</v>
      </c>
      <c r="S3541">
        <f>IMAGE("https://mitra.stanford.edu/kundaje/oak/projects/neuro-variants/variant_position/credible/roussos_2024/variant_figures/roussos_2024.childhood.GLU/rs2023569_count_position.png",4,220,900)</f>
        <v/>
      </c>
      <c r="T3541">
        <f>IMAGE("https://mitra.stanford.edu/kundaje/oak/projects/neuro-variants/variant_position/credible/roussos_2024/variant_figures/roussos_2024.childhood.GLU/rs2023569_profile_position.png",4,220,900)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0.0996725947999999</v>
      </c>
      <c r="G3542" t="n">
        <v>0.0487950551689701</v>
      </c>
      <c r="H3542" t="n">
        <v>0.0195177419754</v>
      </c>
      <c r="I3542" t="n">
        <v>0.1125434953894703</v>
      </c>
      <c r="J3542" t="n">
        <v>0.0925113581340722</v>
      </c>
      <c r="K3542" t="n">
        <v>0.2590620332514868</v>
      </c>
      <c r="L3542" t="b">
        <v>0</v>
      </c>
      <c r="M3542" t="b">
        <v>0</v>
      </c>
      <c r="N3542" t="inlineStr">
        <is>
          <t>alt</t>
        </is>
      </c>
      <c r="O3542" t="n">
        <v>100</v>
      </c>
      <c r="P3542" t="n">
        <v>0.0277</v>
      </c>
      <c r="Q3542" t="n">
        <v>100</v>
      </c>
      <c r="R3542" t="n">
        <v>0.1707</v>
      </c>
      <c r="S3542">
        <f>IMAGE("https://mitra.stanford.edu/kundaje/oak/projects/neuro-variants/variant_position/credible/roussos_2024/variant_figures/roussos_2024.childhood.GLU/rs2022265_count_position.png",4,220,900)</f>
        <v/>
      </c>
      <c r="T3542">
        <f>IMAGE("https://mitra.stanford.edu/kundaje/oak/projects/neuro-variants/variant_position/credible/roussos_2024/variant_figures/roussos_2024.childhood.GLU/rs2022265_profile_position.png",4,220,900)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-0.008334707659999999</v>
      </c>
      <c r="G3543" t="n">
        <v>0.5542062392561885</v>
      </c>
      <c r="H3543" t="n">
        <v>0.0148037136491239</v>
      </c>
      <c r="I3543" t="n">
        <v>0.2659247072274145</v>
      </c>
      <c r="J3543" t="n">
        <v>0.0219497872603459</v>
      </c>
      <c r="K3543" t="n">
        <v>0.4815043852275341</v>
      </c>
      <c r="L3543" t="b">
        <v>0</v>
      </c>
      <c r="M3543" t="b">
        <v>0</v>
      </c>
      <c r="N3543" t="inlineStr">
        <is>
          <t>ref</t>
        </is>
      </c>
      <c r="O3543" t="n">
        <v>100</v>
      </c>
      <c r="P3543" t="n">
        <v>0.0829</v>
      </c>
      <c r="Q3543" t="n">
        <v>95</v>
      </c>
      <c r="R3543" t="n">
        <v>0.0762</v>
      </c>
      <c r="S3543">
        <f>IMAGE("https://mitra.stanford.edu/kundaje/oak/projects/neuro-variants/variant_position/credible/roussos_2024/variant_figures/roussos_2024.childhood.GLU/rs2208335_count_position.png",4,220,900)</f>
        <v/>
      </c>
      <c r="T3543">
        <f>IMAGE("https://mitra.stanford.edu/kundaje/oak/projects/neuro-variants/variant_position/credible/roussos_2024/variant_figures/roussos_2024.childhood.GLU/rs2208335_profile_position.png",4,220,900)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-0.0465149676</v>
      </c>
      <c r="G3544" t="n">
        <v>0.2027062721076983</v>
      </c>
      <c r="H3544" t="n">
        <v>0.0161983693180193</v>
      </c>
      <c r="I3544" t="n">
        <v>0.2006988714271275</v>
      </c>
      <c r="J3544" t="n">
        <v>0.0243635839162639</v>
      </c>
      <c r="K3544" t="n">
        <v>0.4606313063466858</v>
      </c>
      <c r="L3544" t="b">
        <v>0</v>
      </c>
      <c r="M3544" t="b">
        <v>0</v>
      </c>
      <c r="N3544" t="inlineStr">
        <is>
          <t>ref</t>
        </is>
      </c>
      <c r="O3544" t="n">
        <v>5</v>
      </c>
      <c r="P3544" t="n">
        <v>0.002106</v>
      </c>
      <c r="Q3544" t="n">
        <v>95</v>
      </c>
      <c r="R3544" t="n">
        <v>0.11206</v>
      </c>
      <c r="S3544">
        <f>IMAGE("https://mitra.stanford.edu/kundaje/oak/projects/neuro-variants/variant_position/credible/roussos_2024/variant_figures/roussos_2024.childhood.GLU/rs2324447_count_position.png",4,220,900)</f>
        <v/>
      </c>
      <c r="T3544">
        <f>IMAGE("https://mitra.stanford.edu/kundaje/oak/projects/neuro-variants/variant_position/credible/roussos_2024/variant_figures/roussos_2024.childhood.GLU/rs2324447_profile_position.png",4,220,900)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-0.033745814</v>
      </c>
      <c r="G3545" t="n">
        <v>0.3089408403874961</v>
      </c>
      <c r="H3545" t="n">
        <v>0.0197523211689733</v>
      </c>
      <c r="I3545" t="n">
        <v>0.1051395176229608</v>
      </c>
      <c r="J3545" t="n">
        <v>0.0602151091514108</v>
      </c>
      <c r="K3545" t="n">
        <v>0.325037261525301</v>
      </c>
      <c r="L3545" t="b">
        <v>0</v>
      </c>
      <c r="M3545" t="b">
        <v>0</v>
      </c>
      <c r="N3545" t="inlineStr">
        <is>
          <t>ref</t>
        </is>
      </c>
      <c r="O3545" t="n">
        <v>-100</v>
      </c>
      <c r="P3545" t="n">
        <v>0.0382</v>
      </c>
      <c r="Q3545" t="n">
        <v>-100</v>
      </c>
      <c r="R3545" t="n">
        <v>0.10913</v>
      </c>
      <c r="S3545">
        <f>IMAGE("https://mitra.stanford.edu/kundaje/oak/projects/neuro-variants/variant_position/credible/roussos_2024/variant_figures/roussos_2024.childhood.GLU/rs2207944_count_position.png",4,220,900)</f>
        <v/>
      </c>
      <c r="T3545">
        <f>IMAGE("https://mitra.stanford.edu/kundaje/oak/projects/neuro-variants/variant_position/credible/roussos_2024/variant_figures/roussos_2024.childhood.GLU/rs2207944_profile_position.png",4,220,900)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0.16256847</v>
      </c>
      <c r="G3546" t="n">
        <v>0.0166162968271364</v>
      </c>
      <c r="H3546" t="n">
        <v>0.0303460279133035</v>
      </c>
      <c r="I3546" t="n">
        <v>0.0215948615832422</v>
      </c>
      <c r="J3546" t="n">
        <v>0.0390750718575828</v>
      </c>
      <c r="K3546" t="n">
        <v>0.3918478426653559</v>
      </c>
      <c r="L3546" t="b">
        <v>1</v>
      </c>
      <c r="M3546" t="b">
        <v>0</v>
      </c>
      <c r="N3546" t="inlineStr">
        <is>
          <t>alt</t>
        </is>
      </c>
      <c r="O3546" t="n">
        <v>-70</v>
      </c>
      <c r="P3546" t="n">
        <v>0.01434</v>
      </c>
      <c r="Q3546" t="n">
        <v>-90</v>
      </c>
      <c r="R3546" t="n">
        <v>0.1514</v>
      </c>
      <c r="S3546">
        <f>IMAGE("https://mitra.stanford.edu/kundaje/oak/projects/neuro-variants/variant_position/credible/roussos_2024/variant_figures/roussos_2024.childhood.GLU/rs217331_count_position.png",4,220,900)</f>
        <v/>
      </c>
      <c r="T3546">
        <f>IMAGE("https://mitra.stanford.edu/kundaje/oak/projects/neuro-variants/variant_position/credible/roussos_2024/variant_figures/roussos_2024.childhood.GLU/rs217331_profile_position.png",4,220,900)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-0.01803228814</v>
      </c>
      <c r="G3547" t="n">
        <v>0.4792716404094587</v>
      </c>
      <c r="H3547" t="n">
        <v>0.0106324393640184</v>
      </c>
      <c r="I3547" t="n">
        <v>0.5872594753159047</v>
      </c>
      <c r="J3547" t="n">
        <v>0.0439438738191145</v>
      </c>
      <c r="K3547" t="n">
        <v>0.3661778247901451</v>
      </c>
      <c r="L3547" t="b">
        <v>0</v>
      </c>
      <c r="M3547" t="b">
        <v>0</v>
      </c>
      <c r="N3547" t="inlineStr">
        <is>
          <t>ref</t>
        </is>
      </c>
      <c r="O3547" t="n">
        <v>100</v>
      </c>
      <c r="P3547" t="n">
        <v>0.01706</v>
      </c>
      <c r="Q3547" t="n">
        <v>-95</v>
      </c>
      <c r="R3547" t="n">
        <v>0.07140000000000001</v>
      </c>
      <c r="S3547">
        <f>IMAGE("https://mitra.stanford.edu/kundaje/oak/projects/neuro-variants/variant_position/credible/roussos_2024/variant_figures/roussos_2024.childhood.GLU/rs217311_count_position.png",4,220,900)</f>
        <v/>
      </c>
      <c r="T3547">
        <f>IMAGE("https://mitra.stanford.edu/kundaje/oak/projects/neuro-variants/variant_position/credible/roussos_2024/variant_figures/roussos_2024.childhood.GLU/rs217311_profile_position.png",4,220,900)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-0.0544236839999999</v>
      </c>
      <c r="G3548" t="n">
        <v>0.1557755213926956</v>
      </c>
      <c r="H3548" t="n">
        <v>0.0164099230606781</v>
      </c>
      <c r="I3548" t="n">
        <v>0.1899840740711638</v>
      </c>
      <c r="J3548" t="n">
        <v>0.0016524668527923</v>
      </c>
      <c r="K3548" t="n">
        <v>0.7872389311018412</v>
      </c>
      <c r="L3548" t="b">
        <v>0</v>
      </c>
      <c r="M3548" t="b">
        <v>0</v>
      </c>
      <c r="N3548" t="inlineStr">
        <is>
          <t>ref</t>
        </is>
      </c>
      <c r="O3548" t="n">
        <v>-15</v>
      </c>
      <c r="P3548" t="n">
        <v>0.001732</v>
      </c>
      <c r="Q3548" t="n">
        <v>95</v>
      </c>
      <c r="R3548" t="n">
        <v>0.1626</v>
      </c>
      <c r="S3548">
        <f>IMAGE("https://mitra.stanford.edu/kundaje/oak/projects/neuro-variants/variant_position/credible/roussos_2024/variant_figures/roussos_2024.childhood.GLU/rs217303_count_position.png",4,220,900)</f>
        <v/>
      </c>
      <c r="T3548">
        <f>IMAGE("https://mitra.stanford.edu/kundaje/oak/projects/neuro-variants/variant_position/credible/roussos_2024/variant_figures/roussos_2024.childhood.GLU/rs217303_profile_position.png",4,220,900)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0.1141154754</v>
      </c>
      <c r="G3549" t="n">
        <v>0.0392475936376368</v>
      </c>
      <c r="H3549" t="n">
        <v>0.0219344441010566</v>
      </c>
      <c r="I3549" t="n">
        <v>0.0786609113903286</v>
      </c>
      <c r="J3549" t="n">
        <v>0.0009076205095449</v>
      </c>
      <c r="K3549" t="n">
        <v>0.8336825941171753</v>
      </c>
      <c r="L3549" t="b">
        <v>0</v>
      </c>
      <c r="M3549" t="b">
        <v>0</v>
      </c>
      <c r="N3549" t="inlineStr">
        <is>
          <t>alt</t>
        </is>
      </c>
      <c r="O3549" t="n">
        <v>-95</v>
      </c>
      <c r="P3549" t="n">
        <v>0.0112</v>
      </c>
      <c r="Q3549" t="n">
        <v>60</v>
      </c>
      <c r="R3549" t="n">
        <v>0.0974</v>
      </c>
      <c r="S3549">
        <f>IMAGE("https://mitra.stanford.edu/kundaje/oak/projects/neuro-variants/variant_position/credible/roussos_2024/variant_figures/roussos_2024.childhood.GLU/rs217289_count_position.png",4,220,900)</f>
        <v/>
      </c>
      <c r="T3549">
        <f>IMAGE("https://mitra.stanford.edu/kundaje/oak/projects/neuro-variants/variant_position/credible/roussos_2024/variant_figures/roussos_2024.childhood.GLU/rs217289_profile_position.png",4,220,900)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0.0189469026539999</v>
      </c>
      <c r="G3550" t="n">
        <v>0.4991747248958623</v>
      </c>
      <c r="H3550" t="n">
        <v>0.0219418879363155</v>
      </c>
      <c r="I3550" t="n">
        <v>0.0711907398509392</v>
      </c>
      <c r="J3550" t="n">
        <v>0.0041775268628884</v>
      </c>
      <c r="K3550" t="n">
        <v>0.6890694510832553</v>
      </c>
      <c r="L3550" t="b">
        <v>0</v>
      </c>
      <c r="M3550" t="b">
        <v>0</v>
      </c>
      <c r="N3550" t="inlineStr">
        <is>
          <t>alt</t>
        </is>
      </c>
      <c r="O3550" t="n">
        <v>40</v>
      </c>
      <c r="P3550" t="n">
        <v>0.003601</v>
      </c>
      <c r="Q3550" t="n">
        <v>90</v>
      </c>
      <c r="R3550" t="n">
        <v>0.03418</v>
      </c>
      <c r="S3550">
        <f>IMAGE("https://mitra.stanford.edu/kundaje/oak/projects/neuro-variants/variant_position/credible/roussos_2024/variant_figures/roussos_2024.childhood.GLU/rs6917686_count_position.png",4,220,900)</f>
        <v/>
      </c>
      <c r="T3550">
        <f>IMAGE("https://mitra.stanford.edu/kundaje/oak/projects/neuro-variants/variant_position/credible/roussos_2024/variant_figures/roussos_2024.childhood.GLU/rs6917686_profile_position.png",4,220,900)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0.019914213</v>
      </c>
      <c r="G3551" t="n">
        <v>0.4532483485768006</v>
      </c>
      <c r="H3551" t="n">
        <v>0.023217864439726</v>
      </c>
      <c r="I3551" t="n">
        <v>0.058143279363389</v>
      </c>
      <c r="J3551" t="n">
        <v>0.0042414002699166</v>
      </c>
      <c r="K3551" t="n">
        <v>0.6881638692479939</v>
      </c>
      <c r="L3551" t="b">
        <v>0</v>
      </c>
      <c r="M3551" t="b">
        <v>0</v>
      </c>
      <c r="N3551" t="inlineStr">
        <is>
          <t>alt</t>
        </is>
      </c>
      <c r="O3551" t="n">
        <v>35</v>
      </c>
      <c r="P3551" t="n">
        <v>0.003204</v>
      </c>
      <c r="Q3551" t="n">
        <v>80</v>
      </c>
      <c r="R3551" t="n">
        <v>0.03052</v>
      </c>
      <c r="S3551">
        <f>IMAGE("https://mitra.stanford.edu/kundaje/oak/projects/neuro-variants/variant_position/credible/roussos_2024/variant_figures/roussos_2024.childhood.GLU/rs6940316_count_position.png",4,220,900)</f>
        <v/>
      </c>
      <c r="T3551">
        <f>IMAGE("https://mitra.stanford.edu/kundaje/oak/projects/neuro-variants/variant_position/credible/roussos_2024/variant_figures/roussos_2024.childhood.GLU/rs6940316_profile_position.png",4,220,900)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-0.0152993256</v>
      </c>
      <c r="G3552" t="n">
        <v>0.5434065307116317</v>
      </c>
      <c r="H3552" t="n">
        <v>0.0197592623133464</v>
      </c>
      <c r="I3552" t="n">
        <v>0.1058912808996442</v>
      </c>
      <c r="J3552" t="n">
        <v>0.0033914718699454</v>
      </c>
      <c r="K3552" t="n">
        <v>0.7334156803710061</v>
      </c>
      <c r="L3552" t="b">
        <v>0</v>
      </c>
      <c r="M3552" t="b">
        <v>0</v>
      </c>
      <c r="N3552" t="inlineStr">
        <is>
          <t>ref</t>
        </is>
      </c>
      <c r="O3552" t="n">
        <v>95</v>
      </c>
      <c r="P3552" t="n">
        <v>0.01103</v>
      </c>
      <c r="Q3552" t="n">
        <v>100</v>
      </c>
      <c r="R3552" t="n">
        <v>0.12006</v>
      </c>
      <c r="S3552">
        <f>IMAGE("https://mitra.stanford.edu/kundaje/oak/projects/neuro-variants/variant_position/credible/roussos_2024/variant_figures/roussos_2024.childhood.GLU/rs12193330_count_position.png",4,220,900)</f>
        <v/>
      </c>
      <c r="T3552">
        <f>IMAGE("https://mitra.stanford.edu/kundaje/oak/projects/neuro-variants/variant_position/credible/roussos_2024/variant_figures/roussos_2024.childhood.GLU/rs12193330_profile_position.png",4,220,900)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-0.0889148092</v>
      </c>
      <c r="G3553" t="n">
        <v>0.0634563399293927</v>
      </c>
      <c r="H3553" t="n">
        <v>0.0131572181446796</v>
      </c>
      <c r="I3553" t="n">
        <v>0.360421824813164</v>
      </c>
      <c r="J3553" t="n">
        <v>0.0318470747009797</v>
      </c>
      <c r="K3553" t="n">
        <v>0.4209637725535465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0.08344</v>
      </c>
      <c r="Q3553" t="n">
        <v>100</v>
      </c>
      <c r="R3553" t="n">
        <v>0.241</v>
      </c>
      <c r="S3553">
        <f>IMAGE("https://mitra.stanford.edu/kundaje/oak/projects/neuro-variants/variant_position/credible/roussos_2024/variant_figures/roussos_2024.childhood.GLU/rs1593657_count_position.png",4,220,900)</f>
        <v/>
      </c>
      <c r="T3553">
        <f>IMAGE("https://mitra.stanford.edu/kundaje/oak/projects/neuro-variants/variant_position/credible/roussos_2024/variant_figures/roussos_2024.childhood.GLU/rs1593657_profile_position.png",4,220,900)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0.08679410999999999</v>
      </c>
      <c r="G3554" t="n">
        <v>0.0629565308055527</v>
      </c>
      <c r="H3554" t="n">
        <v>0.0183854084185091</v>
      </c>
      <c r="I3554" t="n">
        <v>0.1311609714854786</v>
      </c>
      <c r="J3554" t="n">
        <v>0.0197100971493916</v>
      </c>
      <c r="K3554" t="n">
        <v>0.4970698716011531</v>
      </c>
      <c r="L3554" t="b">
        <v>0</v>
      </c>
      <c r="M3554" t="b">
        <v>0</v>
      </c>
      <c r="N3554" t="inlineStr">
        <is>
          <t>alt</t>
        </is>
      </c>
      <c r="O3554" t="n">
        <v>-45</v>
      </c>
      <c r="P3554" t="n">
        <v>0.02145</v>
      </c>
      <c r="Q3554" t="n">
        <v>-65</v>
      </c>
      <c r="R3554" t="n">
        <v>0.02853</v>
      </c>
      <c r="S3554">
        <f>IMAGE("https://mitra.stanford.edu/kundaje/oak/projects/neuro-variants/variant_position/credible/roussos_2024/variant_figures/roussos_2024.childhood.GLU/rs1346296_count_position.png",4,220,900)</f>
        <v/>
      </c>
      <c r="T3554">
        <f>IMAGE("https://mitra.stanford.edu/kundaje/oak/projects/neuro-variants/variant_position/credible/roussos_2024/variant_figures/roussos_2024.childhood.GLU/rs1346296_profile_position.png",4,220,900)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-0.044008473</v>
      </c>
      <c r="G3555" t="n">
        <v>0.2199741351800189</v>
      </c>
      <c r="H3555" t="n">
        <v>0.02105766702888</v>
      </c>
      <c r="I3555" t="n">
        <v>0.0835636060357491</v>
      </c>
      <c r="J3555" t="n">
        <v>0.0662202396282979</v>
      </c>
      <c r="K3555" t="n">
        <v>0.3075631846727201</v>
      </c>
      <c r="L3555" t="b">
        <v>0</v>
      </c>
      <c r="M3555" t="b">
        <v>0</v>
      </c>
      <c r="N3555" t="inlineStr">
        <is>
          <t>ref</t>
        </is>
      </c>
      <c r="O3555" t="n">
        <v>-20</v>
      </c>
      <c r="P3555" t="n">
        <v>0.003052</v>
      </c>
      <c r="Q3555" t="n">
        <v>-5</v>
      </c>
      <c r="R3555" t="n">
        <v>0.0459</v>
      </c>
      <c r="S3555">
        <f>IMAGE("https://mitra.stanford.edu/kundaje/oak/projects/neuro-variants/variant_position/credible/roussos_2024/variant_figures/roussos_2024.childhood.GLU/rs6919658_count_position.png",4,220,900)</f>
        <v/>
      </c>
      <c r="T3555">
        <f>IMAGE("https://mitra.stanford.edu/kundaje/oak/projects/neuro-variants/variant_position/credible/roussos_2024/variant_figures/roussos_2024.childhood.GLU/rs6919658_profile_position.png",4,220,900)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-0.2238712</v>
      </c>
      <c r="G3556" t="n">
        <v>0.0054152810956811</v>
      </c>
      <c r="H3556" t="n">
        <v>0.0409949162347483</v>
      </c>
      <c r="I3556" t="n">
        <v>0.0063515447952962</v>
      </c>
      <c r="J3556" t="n">
        <v>0.0190435472405657</v>
      </c>
      <c r="K3556" t="n">
        <v>0.4984862410651813</v>
      </c>
      <c r="L3556" t="b">
        <v>1</v>
      </c>
      <c r="M3556" t="b">
        <v>1</v>
      </c>
      <c r="N3556" t="inlineStr">
        <is>
          <t>ref</t>
        </is>
      </c>
      <c r="O3556" t="n">
        <v>-10</v>
      </c>
      <c r="P3556" t="n">
        <v>0.003662</v>
      </c>
      <c r="Q3556" t="n">
        <v>-70</v>
      </c>
      <c r="R3556" t="n">
        <v>0.1072</v>
      </c>
      <c r="S3556">
        <f>IMAGE("https://mitra.stanford.edu/kundaje/oak/projects/neuro-variants/variant_position/credible/roussos_2024/variant_figures/roussos_2024.childhood.GLU/rs142115373_count_position.png",4,220,900)</f>
        <v/>
      </c>
      <c r="T3556">
        <f>IMAGE("https://mitra.stanford.edu/kundaje/oak/projects/neuro-variants/variant_position/credible/roussos_2024/variant_figures/roussos_2024.childhood.GLU/rs142115373_profile_position.png",4,220,900)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0.00853392106</v>
      </c>
      <c r="G3557" t="n">
        <v>0.68621112673727</v>
      </c>
      <c r="H3557" t="n">
        <v>0.0213146645908514</v>
      </c>
      <c r="I3557" t="n">
        <v>0.07764014433734009</v>
      </c>
      <c r="J3557" t="n">
        <v>0.000111263354178</v>
      </c>
      <c r="K3557" t="n">
        <v>0.9480128868702924</v>
      </c>
      <c r="L3557" t="b">
        <v>0</v>
      </c>
      <c r="M3557" t="b">
        <v>0</v>
      </c>
      <c r="N3557" t="inlineStr">
        <is>
          <t>alt</t>
        </is>
      </c>
      <c r="O3557" t="n">
        <v>90</v>
      </c>
      <c r="P3557" t="n">
        <v>0.01059</v>
      </c>
      <c r="Q3557" t="n">
        <v>-100</v>
      </c>
      <c r="R3557" t="n">
        <v>0.02206</v>
      </c>
      <c r="S3557">
        <f>IMAGE("https://mitra.stanford.edu/kundaje/oak/projects/neuro-variants/variant_position/credible/roussos_2024/variant_figures/roussos_2024.childhood.GLU/rs139659029_count_position.png",4,220,900)</f>
        <v/>
      </c>
      <c r="T3557">
        <f>IMAGE("https://mitra.stanford.edu/kundaje/oak/projects/neuro-variants/variant_position/credible/roussos_2024/variant_figures/roussos_2024.childhood.GLU/rs139659029_profile_position.png",4,220,900)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0.002910046448</v>
      </c>
      <c r="G3558" t="n">
        <v>0.7956877606401906</v>
      </c>
      <c r="H3558" t="n">
        <v>0.0185845126822567</v>
      </c>
      <c r="I3558" t="n">
        <v>0.1274385910987638</v>
      </c>
      <c r="J3558" t="n">
        <v>0.0004986246613163</v>
      </c>
      <c r="K3558" t="n">
        <v>0.8711738281042918</v>
      </c>
      <c r="L3558" t="b">
        <v>0</v>
      </c>
      <c r="M3558" t="b">
        <v>0</v>
      </c>
      <c r="N3558" t="inlineStr">
        <is>
          <t>alt</t>
        </is>
      </c>
      <c r="O3558" t="n">
        <v>90</v>
      </c>
      <c r="P3558" t="n">
        <v>0.005165</v>
      </c>
      <c r="Q3558" t="n">
        <v>-10</v>
      </c>
      <c r="R3558" t="n">
        <v>0.02036</v>
      </c>
      <c r="S3558">
        <f>IMAGE("https://mitra.stanford.edu/kundaje/oak/projects/neuro-variants/variant_position/credible/roussos_2024/variant_figures/roussos_2024.childhood.GLU/rs648204_count_position.png",4,220,900)</f>
        <v/>
      </c>
      <c r="T3558">
        <f>IMAGE("https://mitra.stanford.edu/kundaje/oak/projects/neuro-variants/variant_position/credible/roussos_2024/variant_figures/roussos_2024.childhood.GLU/rs648204_profile_position.png",4,220,900)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0.00557241088</v>
      </c>
      <c r="G3559" t="n">
        <v>0.7657117214777477</v>
      </c>
      <c r="H3559" t="n">
        <v>0.0200153479127473</v>
      </c>
      <c r="I3559" t="n">
        <v>0.0975704568599617</v>
      </c>
      <c r="J3559" t="n">
        <v>0.009166864124779701</v>
      </c>
      <c r="K3559" t="n">
        <v>0.6037439050170487</v>
      </c>
      <c r="L3559" t="b">
        <v>0</v>
      </c>
      <c r="M3559" t="b">
        <v>0</v>
      </c>
      <c r="N3559" t="inlineStr">
        <is>
          <t>alt</t>
        </is>
      </c>
      <c r="O3559" t="n">
        <v>-100</v>
      </c>
      <c r="P3559" t="n">
        <v>0.04727</v>
      </c>
      <c r="Q3559" t="n">
        <v>-100</v>
      </c>
      <c r="R3559" t="n">
        <v>0.1316</v>
      </c>
      <c r="S3559">
        <f>IMAGE("https://mitra.stanford.edu/kundaje/oak/projects/neuro-variants/variant_position/credible/roussos_2024/variant_figures/roussos_2024.childhood.GLU/rs586541_count_position.png",4,220,900)</f>
        <v/>
      </c>
      <c r="T3559">
        <f>IMAGE("https://mitra.stanford.edu/kundaje/oak/projects/neuro-variants/variant_position/credible/roussos_2024/variant_figures/roussos_2024.childhood.GLU/rs586541_profile_position.png",4,220,900)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0.153373476</v>
      </c>
      <c r="G3560" t="n">
        <v>0.0153228124191754</v>
      </c>
      <c r="H3560" t="n">
        <v>0.0525767578351818</v>
      </c>
      <c r="I3560" t="n">
        <v>0.0022555015842645</v>
      </c>
      <c r="J3560" t="n">
        <v>0.1411385949910885</v>
      </c>
      <c r="K3560" t="n">
        <v>0.1963570333677221</v>
      </c>
      <c r="L3560" t="b">
        <v>1</v>
      </c>
      <c r="M3560" t="b">
        <v>1</v>
      </c>
      <c r="N3560" t="inlineStr">
        <is>
          <t>alt</t>
        </is>
      </c>
      <c r="O3560" t="n">
        <v>100</v>
      </c>
      <c r="P3560" t="n">
        <v>0.01012</v>
      </c>
      <c r="Q3560" t="n">
        <v>100</v>
      </c>
      <c r="R3560" t="n">
        <v>0.03992</v>
      </c>
      <c r="S3560">
        <f>IMAGE("https://mitra.stanford.edu/kundaje/oak/projects/neuro-variants/variant_position/credible/roussos_2024/variant_figures/roussos_2024.childhood.GLU/rs910025_count_position.png",4,220,900)</f>
        <v/>
      </c>
      <c r="T3560">
        <f>IMAGE("https://mitra.stanford.edu/kundaje/oak/projects/neuro-variants/variant_position/credible/roussos_2024/variant_figures/roussos_2024.childhood.GLU/rs910025_profile_position.png",4,220,900)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0.1878852412</v>
      </c>
      <c r="G3561" t="n">
        <v>0.0100156108505087</v>
      </c>
      <c r="H3561" t="n">
        <v>0.0391849164604727</v>
      </c>
      <c r="I3561" t="n">
        <v>0.0086415979251366</v>
      </c>
      <c r="J3561" t="n">
        <v>0.2171221939485097</v>
      </c>
      <c r="K3561" t="n">
        <v>0.1385116277956143</v>
      </c>
      <c r="L3561" t="b">
        <v>1</v>
      </c>
      <c r="M3561" t="b">
        <v>1</v>
      </c>
      <c r="N3561" t="inlineStr">
        <is>
          <t>alt</t>
        </is>
      </c>
      <c r="O3561" t="n">
        <v>-100</v>
      </c>
      <c r="P3561" t="n">
        <v>0.03577</v>
      </c>
      <c r="Q3561" t="n">
        <v>-100</v>
      </c>
      <c r="R3561" t="n">
        <v>0.1194</v>
      </c>
      <c r="S3561">
        <f>IMAGE("https://mitra.stanford.edu/kundaje/oak/projects/neuro-variants/variant_position/credible/roussos_2024/variant_figures/roussos_2024.childhood.GLU/rs474447_count_position.png",4,220,900)</f>
        <v/>
      </c>
      <c r="T3561">
        <f>IMAGE("https://mitra.stanford.edu/kundaje/oak/projects/neuro-variants/variant_position/credible/roussos_2024/variant_figures/roussos_2024.childhood.GLU/rs474447_profile_position.png",4,220,900)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-0.01838206028</v>
      </c>
      <c r="G3562" t="n">
        <v>0.5022937703398512</v>
      </c>
      <c r="H3562" t="n">
        <v>0.026757521232505</v>
      </c>
      <c r="I3562" t="n">
        <v>0.0340051721772931</v>
      </c>
      <c r="J3562" t="n">
        <v>0.0002524029793853</v>
      </c>
      <c r="K3562" t="n">
        <v>0.9092469714983314</v>
      </c>
      <c r="L3562" t="b">
        <v>0</v>
      </c>
      <c r="M3562" t="b">
        <v>0</v>
      </c>
      <c r="N3562" t="inlineStr">
        <is>
          <t>ref</t>
        </is>
      </c>
      <c r="O3562" t="n">
        <v>-95</v>
      </c>
      <c r="P3562" t="n">
        <v>0.003937</v>
      </c>
      <c r="Q3562" t="n">
        <v>-65</v>
      </c>
      <c r="R3562" t="n">
        <v>0.1545</v>
      </c>
      <c r="S3562">
        <f>IMAGE("https://mitra.stanford.edu/kundaje/oak/projects/neuro-variants/variant_position/credible/roussos_2024/variant_figures/roussos_2024.childhood.GLU/rs675629_count_position.png",4,220,900)</f>
        <v/>
      </c>
      <c r="T3562">
        <f>IMAGE("https://mitra.stanford.edu/kundaje/oak/projects/neuro-variants/variant_position/credible/roussos_2024/variant_figures/roussos_2024.childhood.GLU/rs675629_profile_position.png",4,220,900)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-0.0439838746</v>
      </c>
      <c r="G3563" t="n">
        <v>0.2198406908329619</v>
      </c>
      <c r="H3563" t="n">
        <v>0.0317777541322539</v>
      </c>
      <c r="I3563" t="n">
        <v>0.0167899643074215</v>
      </c>
      <c r="J3563" t="n">
        <v>0.0078275830096736</v>
      </c>
      <c r="K3563" t="n">
        <v>0.61733446748985</v>
      </c>
      <c r="L3563" t="b">
        <v>0</v>
      </c>
      <c r="M3563" t="b">
        <v>0</v>
      </c>
      <c r="N3563" t="inlineStr">
        <is>
          <t>ref</t>
        </is>
      </c>
      <c r="O3563" t="n">
        <v>90</v>
      </c>
      <c r="P3563" t="n">
        <v>0.047</v>
      </c>
      <c r="Q3563" t="n">
        <v>90</v>
      </c>
      <c r="R3563" t="n">
        <v>0.2964</v>
      </c>
      <c r="S3563">
        <f>IMAGE("https://mitra.stanford.edu/kundaje/oak/projects/neuro-variants/variant_position/credible/roussos_2024/variant_figures/roussos_2024.childhood.GLU/rs582112_count_position.png",4,220,900)</f>
        <v/>
      </c>
      <c r="T3563">
        <f>IMAGE("https://mitra.stanford.edu/kundaje/oak/projects/neuro-variants/variant_position/credible/roussos_2024/variant_figures/roussos_2024.childhood.GLU/rs582112_profile_position.png",4,220,900)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0.0673467482</v>
      </c>
      <c r="G3564" t="n">
        <v>0.1007137251618749</v>
      </c>
      <c r="H3564" t="n">
        <v>0.0115332988009426</v>
      </c>
      <c r="I3564" t="n">
        <v>0.4847552694006695</v>
      </c>
      <c r="J3564" t="n">
        <v>0.0400702607477308</v>
      </c>
      <c r="K3564" t="n">
        <v>0.385979697179679</v>
      </c>
      <c r="L3564" t="b">
        <v>0</v>
      </c>
      <c r="M3564" t="b">
        <v>0</v>
      </c>
      <c r="N3564" t="inlineStr">
        <is>
          <t>alt</t>
        </is>
      </c>
      <c r="O3564" t="n">
        <v>-40</v>
      </c>
      <c r="P3564" t="n">
        <v>0.00616</v>
      </c>
      <c r="Q3564" t="n">
        <v>100</v>
      </c>
      <c r="R3564" t="n">
        <v>0.1599</v>
      </c>
      <c r="S3564">
        <f>IMAGE("https://mitra.stanford.edu/kundaje/oak/projects/neuro-variants/variant_position/credible/roussos_2024/variant_figures/roussos_2024.childhood.GLU/rs595200_count_position.png",4,220,900)</f>
        <v/>
      </c>
      <c r="T3564">
        <f>IMAGE("https://mitra.stanford.edu/kundaje/oak/projects/neuro-variants/variant_position/credible/roussos_2024/variant_figures/roussos_2024.childhood.GLU/rs595200_profile_position.png",4,220,900)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0.00612551484</v>
      </c>
      <c r="G3565" t="n">
        <v>0.722779054354027</v>
      </c>
      <c r="H3565" t="n">
        <v>0.0213604756690448</v>
      </c>
      <c r="I3565" t="n">
        <v>0.080817986062114</v>
      </c>
      <c r="J3565" t="n">
        <v>0.0494060803362625</v>
      </c>
      <c r="K3565" t="n">
        <v>0.355891380179441</v>
      </c>
      <c r="L3565" t="b">
        <v>0</v>
      </c>
      <c r="M3565" t="b">
        <v>0</v>
      </c>
      <c r="N3565" t="inlineStr">
        <is>
          <t>alt</t>
        </is>
      </c>
      <c r="O3565" t="n">
        <v>-30</v>
      </c>
      <c r="P3565" t="n">
        <v>0.02591</v>
      </c>
      <c r="Q3565" t="n">
        <v>65</v>
      </c>
      <c r="R3565" t="n">
        <v>0.12195</v>
      </c>
      <c r="S3565">
        <f>IMAGE("https://mitra.stanford.edu/kundaje/oak/projects/neuro-variants/variant_position/credible/roussos_2024/variant_figures/roussos_2024.childhood.GLU/rs17592255_count_position.png",4,220,900)</f>
        <v/>
      </c>
      <c r="T3565">
        <f>IMAGE("https://mitra.stanford.edu/kundaje/oak/projects/neuro-variants/variant_position/credible/roussos_2024/variant_figures/roussos_2024.childhood.GLU/rs17592255_profile_position.png",4,220,900)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0.00499069628</v>
      </c>
      <c r="G3566" t="n">
        <v>0.7114630482419234</v>
      </c>
      <c r="H3566" t="n">
        <v>0.0134228693028553</v>
      </c>
      <c r="I3566" t="n">
        <v>0.3412055284124398</v>
      </c>
      <c r="J3566" t="n">
        <v>0.0001658648150246</v>
      </c>
      <c r="K3566" t="n">
        <v>0.9243912783469336</v>
      </c>
      <c r="L3566" t="b">
        <v>0</v>
      </c>
      <c r="M3566" t="b">
        <v>0</v>
      </c>
      <c r="N3566" t="inlineStr">
        <is>
          <t>alt</t>
        </is>
      </c>
      <c r="O3566" t="n">
        <v>35</v>
      </c>
      <c r="P3566" t="n">
        <v>0.004898</v>
      </c>
      <c r="Q3566" t="n">
        <v>60</v>
      </c>
      <c r="R3566" t="n">
        <v>0.001543</v>
      </c>
      <c r="S3566">
        <f>IMAGE("https://mitra.stanford.edu/kundaje/oak/projects/neuro-variants/variant_position/credible/roussos_2024/variant_figures/roussos_2024.childhood.GLU/rs6926151_count_position.png",4,220,900)</f>
        <v/>
      </c>
      <c r="T3566">
        <f>IMAGE("https://mitra.stanford.edu/kundaje/oak/projects/neuro-variants/variant_position/credible/roussos_2024/variant_figures/roussos_2024.childhood.GLU/rs6926151_profile_position.png",4,220,900)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0.0293550716</v>
      </c>
      <c r="G3567" t="n">
        <v>0.3345529338387717</v>
      </c>
      <c r="H3567" t="n">
        <v>0.0246746474858027</v>
      </c>
      <c r="I3567" t="n">
        <v>0.0474630787398997</v>
      </c>
      <c r="J3567" t="n">
        <v>0.0089515489301203</v>
      </c>
      <c r="K3567" t="n">
        <v>0.6161333461565306</v>
      </c>
      <c r="L3567" t="b">
        <v>0</v>
      </c>
      <c r="M3567" t="b">
        <v>0</v>
      </c>
      <c r="N3567" t="inlineStr">
        <is>
          <t>alt</t>
        </is>
      </c>
      <c r="O3567" t="n">
        <v>-20</v>
      </c>
      <c r="P3567" t="n">
        <v>0.007477</v>
      </c>
      <c r="Q3567" t="n">
        <v>-100</v>
      </c>
      <c r="R3567" t="n">
        <v>0.0692</v>
      </c>
      <c r="S3567">
        <f>IMAGE("https://mitra.stanford.edu/kundaje/oak/projects/neuro-variants/variant_position/credible/roussos_2024/variant_figures/roussos_2024.childhood.GLU/rs1933801_count_position.png",4,220,900)</f>
        <v/>
      </c>
      <c r="T3567">
        <f>IMAGE("https://mitra.stanford.edu/kundaje/oak/projects/neuro-variants/variant_position/credible/roussos_2024/variant_figures/roussos_2024.childhood.GLU/rs1933801_profile_position.png",4,220,900)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-0.08510733299999999</v>
      </c>
      <c r="G3568" t="n">
        <v>0.0666535195870364</v>
      </c>
      <c r="H3568" t="n">
        <v>0.0133867337777358</v>
      </c>
      <c r="I3568" t="n">
        <v>0.3416643278366627</v>
      </c>
      <c r="J3568" t="n">
        <v>0.0329957658112437</v>
      </c>
      <c r="K3568" t="n">
        <v>0.4184299045443733</v>
      </c>
      <c r="L3568" t="b">
        <v>0</v>
      </c>
      <c r="M3568" t="b">
        <v>0</v>
      </c>
      <c r="N3568" t="inlineStr">
        <is>
          <t>ref</t>
        </is>
      </c>
      <c r="O3568" t="n">
        <v>-70</v>
      </c>
      <c r="P3568" t="n">
        <v>0.02171</v>
      </c>
      <c r="Q3568" t="n">
        <v>-55</v>
      </c>
      <c r="R3568" t="n">
        <v>0.07275</v>
      </c>
      <c r="S3568">
        <f>IMAGE("https://mitra.stanford.edu/kundaje/oak/projects/neuro-variants/variant_position/credible/roussos_2024/variant_figures/roussos_2024.childhood.GLU/rs9391254_count_position.png",4,220,900)</f>
        <v/>
      </c>
      <c r="T3568">
        <f>IMAGE("https://mitra.stanford.edu/kundaje/oak/projects/neuro-variants/variant_position/credible/roussos_2024/variant_figures/roussos_2024.childhood.GLU/rs9391254_profile_position.png",4,220,900)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-0.07380711719999999</v>
      </c>
      <c r="G3569" t="n">
        <v>0.0906002413516168</v>
      </c>
      <c r="H3569" t="n">
        <v>0.0201257980247232</v>
      </c>
      <c r="I3569" t="n">
        <v>0.0995752489488046</v>
      </c>
      <c r="J3569" t="n">
        <v>0.08254916707016791</v>
      </c>
      <c r="K3569" t="n">
        <v>0.2771987569776186</v>
      </c>
      <c r="L3569" t="b">
        <v>0</v>
      </c>
      <c r="M3569" t="b">
        <v>0</v>
      </c>
      <c r="N3569" t="inlineStr">
        <is>
          <t>ref</t>
        </is>
      </c>
      <c r="O3569" t="n">
        <v>-70</v>
      </c>
      <c r="P3569" t="n">
        <v>0.01813</v>
      </c>
      <c r="Q3569" t="n">
        <v>55</v>
      </c>
      <c r="R3569" t="n">
        <v>0.0464</v>
      </c>
      <c r="S3569">
        <f>IMAGE("https://mitra.stanford.edu/kundaje/oak/projects/neuro-variants/variant_position/credible/roussos_2024/variant_figures/roussos_2024.childhood.GLU/rs7759938_count_position.png",4,220,900)</f>
        <v/>
      </c>
      <c r="T3569">
        <f>IMAGE("https://mitra.stanford.edu/kundaje/oak/projects/neuro-variants/variant_position/credible/roussos_2024/variant_figures/roussos_2024.childhood.GLU/rs7759938_profile_position.png",4,220,900)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-0.0227722510999999</v>
      </c>
      <c r="G3570" t="n">
        <v>0.4436386711431026</v>
      </c>
      <c r="H3570" t="n">
        <v>0.0083848658380303</v>
      </c>
      <c r="I3570" t="n">
        <v>0.8072719519062613</v>
      </c>
      <c r="J3570" t="n">
        <v>0.0043897514088206</v>
      </c>
      <c r="K3570" t="n">
        <v>0.6895734311198491</v>
      </c>
      <c r="L3570" t="b">
        <v>0</v>
      </c>
      <c r="M3570" t="b">
        <v>0</v>
      </c>
      <c r="N3570" t="inlineStr">
        <is>
          <t>ref</t>
        </is>
      </c>
      <c r="O3570" t="n">
        <v>-90</v>
      </c>
      <c r="P3570" t="n">
        <v>0.02446</v>
      </c>
      <c r="Q3570" t="n">
        <v>-75</v>
      </c>
      <c r="R3570" t="n">
        <v>0.09533999999999999</v>
      </c>
      <c r="S3570">
        <f>IMAGE("https://mitra.stanford.edu/kundaje/oak/projects/neuro-variants/variant_position/credible/roussos_2024/variant_figures/roussos_2024.childhood.GLU/rs314265_count_position.png",4,220,900)</f>
        <v/>
      </c>
      <c r="T3570">
        <f>IMAGE("https://mitra.stanford.edu/kundaje/oak/projects/neuro-variants/variant_position/credible/roussos_2024/variant_figures/roussos_2024.childhood.GLU/rs314265_profile_position.png",4,220,900)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0.01078950822</v>
      </c>
      <c r="G3571" t="n">
        <v>0.6374555595402082</v>
      </c>
      <c r="H3571" t="n">
        <v>0.019866680713489</v>
      </c>
      <c r="I3571" t="n">
        <v>0.1034843019121778</v>
      </c>
      <c r="J3571" t="n">
        <v>0.009088567690358099</v>
      </c>
      <c r="K3571" t="n">
        <v>0.6028578180184607</v>
      </c>
      <c r="L3571" t="b">
        <v>0</v>
      </c>
      <c r="M3571" t="b">
        <v>0</v>
      </c>
      <c r="N3571" t="inlineStr">
        <is>
          <t>alt</t>
        </is>
      </c>
      <c r="O3571" t="n">
        <v>100</v>
      </c>
      <c r="P3571" t="n">
        <v>0.010506</v>
      </c>
      <c r="Q3571" t="n">
        <v>-100</v>
      </c>
      <c r="R3571" t="n">
        <v>0.2693</v>
      </c>
      <c r="S3571">
        <f>IMAGE("https://mitra.stanford.edu/kundaje/oak/projects/neuro-variants/variant_position/credible/roussos_2024/variant_figures/roussos_2024.childhood.GLU/rs314275_count_position.png",4,220,900)</f>
        <v/>
      </c>
      <c r="T3571">
        <f>IMAGE("https://mitra.stanford.edu/kundaje/oak/projects/neuro-variants/variant_position/credible/roussos_2024/variant_figures/roussos_2024.childhood.GLU/rs314275_profile_position.png",4,220,900)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0.0229843462</v>
      </c>
      <c r="G3572" t="n">
        <v>0.4052862650336702</v>
      </c>
      <c r="H3572" t="n">
        <v>0.0126696455668777</v>
      </c>
      <c r="I3572" t="n">
        <v>0.3958059218925807</v>
      </c>
      <c r="J3572" t="n">
        <v>0.0164628555533806</v>
      </c>
      <c r="K3572" t="n">
        <v>0.5183785132938786</v>
      </c>
      <c r="L3572" t="b">
        <v>0</v>
      </c>
      <c r="M3572" t="b">
        <v>0</v>
      </c>
      <c r="N3572" t="inlineStr">
        <is>
          <t>alt</t>
        </is>
      </c>
      <c r="O3572" t="n">
        <v>85</v>
      </c>
      <c r="P3572" t="n">
        <v>0.012245</v>
      </c>
      <c r="Q3572" t="n">
        <v>55</v>
      </c>
      <c r="R3572" t="n">
        <v>0.2683</v>
      </c>
      <c r="S3572">
        <f>IMAGE("https://mitra.stanford.edu/kundaje/oak/projects/neuro-variants/variant_position/credible/roussos_2024/variant_figures/roussos_2024.childhood.GLU/rs314261_count_position.png",4,220,900)</f>
        <v/>
      </c>
      <c r="T3572">
        <f>IMAGE("https://mitra.stanford.edu/kundaje/oak/projects/neuro-variants/variant_position/credible/roussos_2024/variant_figures/roussos_2024.childhood.GLU/rs314261_profile_position.png",4,220,900)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0.0319082442</v>
      </c>
      <c r="G3573" t="n">
        <v>0.3025175290724082</v>
      </c>
      <c r="H3573" t="n">
        <v>0.0344209946266287</v>
      </c>
      <c r="I3573" t="n">
        <v>0.012437889537219</v>
      </c>
      <c r="J3573" t="n">
        <v>0.0192114724880752</v>
      </c>
      <c r="K3573" t="n">
        <v>0.5021137751624454</v>
      </c>
      <c r="L3573" t="b">
        <v>1</v>
      </c>
      <c r="M3573" t="b">
        <v>0</v>
      </c>
      <c r="N3573" t="inlineStr">
        <is>
          <t>alt</t>
        </is>
      </c>
      <c r="O3573" t="n">
        <v>70</v>
      </c>
      <c r="P3573" t="n">
        <v>0.002625</v>
      </c>
      <c r="Q3573" t="n">
        <v>70</v>
      </c>
      <c r="R3573" t="n">
        <v>0.1484</v>
      </c>
      <c r="S3573">
        <f>IMAGE("https://mitra.stanford.edu/kundaje/oak/projects/neuro-variants/variant_position/credible/roussos_2024/variant_figures/roussos_2024.childhood.GLU/rs314260_count_position.png",4,220,900)</f>
        <v/>
      </c>
      <c r="T3573">
        <f>IMAGE("https://mitra.stanford.edu/kundaje/oak/projects/neuro-variants/variant_position/credible/roussos_2024/variant_figures/roussos_2024.childhood.GLU/rs314260_profile_position.png",4,220,900)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-0.0117046979979999</v>
      </c>
      <c r="G3574" t="n">
        <v>0.6211479988425318</v>
      </c>
      <c r="H3574" t="n">
        <v>0.0203046716296973</v>
      </c>
      <c r="I3574" t="n">
        <v>0.09947379822135489</v>
      </c>
      <c r="J3574" t="n">
        <v>0.0142138934962448</v>
      </c>
      <c r="K3574" t="n">
        <v>0.5375532161508916</v>
      </c>
      <c r="L3574" t="b">
        <v>0</v>
      </c>
      <c r="M3574" t="b">
        <v>0</v>
      </c>
      <c r="N3574" t="inlineStr">
        <is>
          <t>ref</t>
        </is>
      </c>
      <c r="O3574" t="n">
        <v>-65</v>
      </c>
      <c r="P3574" t="n">
        <v>0.04108</v>
      </c>
      <c r="Q3574" t="n">
        <v>-70</v>
      </c>
      <c r="R3574" t="n">
        <v>0.0916</v>
      </c>
      <c r="S3574">
        <f>IMAGE("https://mitra.stanford.edu/kundaje/oak/projects/neuro-variants/variant_position/credible/roussos_2024/variant_figures/roussos_2024.childhood.GLU/rs191135_count_position.png",4,220,900)</f>
        <v/>
      </c>
      <c r="T3574">
        <f>IMAGE("https://mitra.stanford.edu/kundaje/oak/projects/neuro-variants/variant_position/credible/roussos_2024/variant_figures/roussos_2024.childhood.GLU/rs191135_profile_position.png",4,220,900)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-0.1458783832</v>
      </c>
      <c r="G3575" t="n">
        <v>0.0186894352743215</v>
      </c>
      <c r="H3575" t="n">
        <v>0.039355010596006</v>
      </c>
      <c r="I3575" t="n">
        <v>0.0074457808053098</v>
      </c>
      <c r="J3575" t="n">
        <v>0.0519857418072052</v>
      </c>
      <c r="K3575" t="n">
        <v>0.3499347735763543</v>
      </c>
      <c r="L3575" t="b">
        <v>1</v>
      </c>
      <c r="M3575" t="b">
        <v>1</v>
      </c>
      <c r="N3575" t="inlineStr">
        <is>
          <t>ref</t>
        </is>
      </c>
      <c r="O3575" t="n">
        <v>-60</v>
      </c>
      <c r="P3575" t="n">
        <v>0.00559</v>
      </c>
      <c r="Q3575" t="n">
        <v>-65</v>
      </c>
      <c r="R3575" t="n">
        <v>0.1444</v>
      </c>
      <c r="S3575">
        <f>IMAGE("https://mitra.stanford.edu/kundaje/oak/projects/neuro-variants/variant_position/credible/roussos_2024/variant_figures/roussos_2024.childhood.GLU/rs6909292_count_position.png",4,220,900)</f>
        <v/>
      </c>
      <c r="T3575">
        <f>IMAGE("https://mitra.stanford.edu/kundaje/oak/projects/neuro-variants/variant_position/credible/roussos_2024/variant_figures/roussos_2024.childhood.GLU/rs6909292_profile_position.png",4,220,900)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0.005210929754</v>
      </c>
      <c r="G3576" t="n">
        <v>0.7853642268670826</v>
      </c>
      <c r="H3576" t="n">
        <v>0.008030636989041899</v>
      </c>
      <c r="I3576" t="n">
        <v>0.8656467765867343</v>
      </c>
      <c r="J3576" t="n">
        <v>0.0169068787538503</v>
      </c>
      <c r="K3576" t="n">
        <v>0.5253499131311201</v>
      </c>
      <c r="L3576" t="b">
        <v>0</v>
      </c>
      <c r="M3576" t="b">
        <v>0</v>
      </c>
      <c r="N3576" t="inlineStr">
        <is>
          <t>alt</t>
        </is>
      </c>
      <c r="O3576" t="n">
        <v>100</v>
      </c>
      <c r="P3576" t="n">
        <v>0.003315</v>
      </c>
      <c r="Q3576" t="n">
        <v>-85</v>
      </c>
      <c r="R3576" t="n">
        <v>0.1746</v>
      </c>
      <c r="S3576">
        <f>IMAGE("https://mitra.stanford.edu/kundaje/oak/projects/neuro-variants/variant_position/credible/roussos_2024/variant_figures/roussos_2024.childhood.GLU/rs7741285_count_position.png",4,220,900)</f>
        <v/>
      </c>
      <c r="T3576">
        <f>IMAGE("https://mitra.stanford.edu/kundaje/oak/projects/neuro-variants/variant_position/credible/roussos_2024/variant_figures/roussos_2024.childhood.GLU/rs7741285_profile_position.png",4,220,900)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-0.1698143299999999</v>
      </c>
      <c r="G3577" t="n">
        <v>0.0125212612561402</v>
      </c>
      <c r="H3577" t="n">
        <v>0.0220558949599355</v>
      </c>
      <c r="I3577" t="n">
        <v>0.0714626204194001</v>
      </c>
      <c r="J3577" t="n">
        <v>0.0014113962520732</v>
      </c>
      <c r="K3577" t="n">
        <v>0.7969017862424588</v>
      </c>
      <c r="L3577" t="b">
        <v>1</v>
      </c>
      <c r="M3577" t="b">
        <v>0</v>
      </c>
      <c r="N3577" t="inlineStr">
        <is>
          <t>ref</t>
        </is>
      </c>
      <c r="O3577" t="n">
        <v>-15</v>
      </c>
      <c r="P3577" t="n">
        <v>0.001892</v>
      </c>
      <c r="Q3577" t="n">
        <v>95</v>
      </c>
      <c r="R3577" t="n">
        <v>0.09379999999999999</v>
      </c>
      <c r="S3577">
        <f>IMAGE("https://mitra.stanford.edu/kundaje/oak/projects/neuro-variants/variant_position/credible/roussos_2024/variant_figures/roussos_2024.childhood.GLU/rs9400146_count_position.png",4,220,900)</f>
        <v/>
      </c>
      <c r="T3577">
        <f>IMAGE("https://mitra.stanford.edu/kundaje/oak/projects/neuro-variants/variant_position/credible/roussos_2024/variant_figures/roussos_2024.childhood.GLU/rs9400146_profile_position.png",4,220,900)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-0.075879246</v>
      </c>
      <c r="G3578" t="n">
        <v>0.0886212690981098</v>
      </c>
      <c r="H3578" t="n">
        <v>0.0149727546551767</v>
      </c>
      <c r="I3578" t="n">
        <v>0.2586762846866448</v>
      </c>
      <c r="J3578" t="n">
        <v>0.3316956329133485</v>
      </c>
      <c r="K3578" t="n">
        <v>0.0846918581369371</v>
      </c>
      <c r="L3578" t="b">
        <v>0</v>
      </c>
      <c r="M3578" t="b">
        <v>0</v>
      </c>
      <c r="N3578" t="inlineStr">
        <is>
          <t>ref</t>
        </is>
      </c>
      <c r="O3578" t="n">
        <v>-90</v>
      </c>
      <c r="P3578" t="n">
        <v>0.004124</v>
      </c>
      <c r="Q3578" t="n">
        <v>85</v>
      </c>
      <c r="R3578" t="n">
        <v>0.2212</v>
      </c>
      <c r="S3578">
        <f>IMAGE("https://mitra.stanford.edu/kundaje/oak/projects/neuro-variants/variant_position/credible/roussos_2024/variant_figures/roussos_2024.childhood.GLU/rs75971958_count_position.png",4,220,900)</f>
        <v/>
      </c>
      <c r="T3578">
        <f>IMAGE("https://mitra.stanford.edu/kundaje/oak/projects/neuro-variants/variant_position/credible/roussos_2024/variant_figures/roussos_2024.childhood.GLU/rs75971958_profile_position.png",4,220,900)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-0.00570436372</v>
      </c>
      <c r="G3579" t="n">
        <v>0.7792255621899915</v>
      </c>
      <c r="H3579" t="n">
        <v>0.0302677985498346</v>
      </c>
      <c r="I3579" t="n">
        <v>0.0202922895540445</v>
      </c>
      <c r="J3579" t="n">
        <v>0.0275510729702164</v>
      </c>
      <c r="K3579" t="n">
        <v>0.4477476521637289</v>
      </c>
      <c r="L3579" t="b">
        <v>0</v>
      </c>
      <c r="M3579" t="b">
        <v>0</v>
      </c>
      <c r="N3579" t="inlineStr">
        <is>
          <t>ref</t>
        </is>
      </c>
      <c r="O3579" t="n">
        <v>-60</v>
      </c>
      <c r="P3579" t="n">
        <v>0.0013275</v>
      </c>
      <c r="Q3579" t="n">
        <v>-75</v>
      </c>
      <c r="R3579" t="n">
        <v>0.06805</v>
      </c>
      <c r="S3579">
        <f>IMAGE("https://mitra.stanford.edu/kundaje/oak/projects/neuro-variants/variant_position/credible/roussos_2024/variant_figures/roussos_2024.childhood.GLU/rs75280747_count_position.png",4,220,900)</f>
        <v/>
      </c>
      <c r="T3579">
        <f>IMAGE("https://mitra.stanford.edu/kundaje/oak/projects/neuro-variants/variant_position/credible/roussos_2024/variant_figures/roussos_2024.childhood.GLU/rs75280747_profile_position.png",4,220,900)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0.0386041686</v>
      </c>
      <c r="G3580" t="n">
        <v>0.2522483072752843</v>
      </c>
      <c r="H3580" t="n">
        <v>0.0098771874351646</v>
      </c>
      <c r="I3580" t="n">
        <v>0.6701715762922972</v>
      </c>
      <c r="J3580" t="n">
        <v>0.0408470437944924</v>
      </c>
      <c r="K3580" t="n">
        <v>0.3798348968768007</v>
      </c>
      <c r="L3580" t="b">
        <v>0</v>
      </c>
      <c r="M3580" t="b">
        <v>0</v>
      </c>
      <c r="N3580" t="inlineStr">
        <is>
          <t>alt</t>
        </is>
      </c>
      <c r="O3580" t="n">
        <v>-100</v>
      </c>
      <c r="P3580" t="n">
        <v>0.00554</v>
      </c>
      <c r="Q3580" t="n">
        <v>-75</v>
      </c>
      <c r="R3580" t="n">
        <v>0.068</v>
      </c>
      <c r="S3580">
        <f>IMAGE("https://mitra.stanford.edu/kundaje/oak/projects/neuro-variants/variant_position/credible/roussos_2024/variant_figures/roussos_2024.childhood.GLU/rs9386678_count_position.png",4,220,900)</f>
        <v/>
      </c>
      <c r="T3580">
        <f>IMAGE("https://mitra.stanford.edu/kundaje/oak/projects/neuro-variants/variant_position/credible/roussos_2024/variant_figures/roussos_2024.childhood.GLU/rs9386678_profile_position.png",4,220,900)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-0.00288311984</v>
      </c>
      <c r="G3581" t="n">
        <v>0.8373996289653738</v>
      </c>
      <c r="H3581" t="n">
        <v>0.0161478322472373</v>
      </c>
      <c r="I3581" t="n">
        <v>0.2041794746994891</v>
      </c>
      <c r="J3581" t="n">
        <v>0.0022747174631954</v>
      </c>
      <c r="K3581" t="n">
        <v>0.7537717529843461</v>
      </c>
      <c r="L3581" t="b">
        <v>0</v>
      </c>
      <c r="M3581" t="b">
        <v>0</v>
      </c>
      <c r="N3581" t="inlineStr">
        <is>
          <t>ref</t>
        </is>
      </c>
      <c r="O3581" t="n">
        <v>100</v>
      </c>
      <c r="P3581" t="n">
        <v>0.01997</v>
      </c>
      <c r="Q3581" t="n">
        <v>100</v>
      </c>
      <c r="R3581" t="n">
        <v>0.2134</v>
      </c>
      <c r="S3581">
        <f>IMAGE("https://mitra.stanford.edu/kundaje/oak/projects/neuro-variants/variant_position/credible/roussos_2024/variant_figures/roussos_2024.childhood.GLU/rs2355851_count_position.png",4,220,900)</f>
        <v/>
      </c>
      <c r="T3581">
        <f>IMAGE("https://mitra.stanford.edu/kundaje/oak/projects/neuro-variants/variant_position/credible/roussos_2024/variant_figures/roussos_2024.childhood.GLU/rs2355851_profile_position.png",4,220,900)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0.01508667384</v>
      </c>
      <c r="G3582" t="n">
        <v>0.5439746060928651</v>
      </c>
      <c r="H3582" t="n">
        <v>0.009647998274874701</v>
      </c>
      <c r="I3582" t="n">
        <v>0.7002871266280994</v>
      </c>
      <c r="J3582" t="n">
        <v>0.021682961253567</v>
      </c>
      <c r="K3582" t="n">
        <v>0.4789223690872052</v>
      </c>
      <c r="L3582" t="b">
        <v>0</v>
      </c>
      <c r="M3582" t="b">
        <v>0</v>
      </c>
      <c r="N3582" t="inlineStr">
        <is>
          <t>alt</t>
        </is>
      </c>
      <c r="O3582" t="n">
        <v>40</v>
      </c>
      <c r="P3582" t="n">
        <v>0.006096</v>
      </c>
      <c r="Q3582" t="n">
        <v>-10</v>
      </c>
      <c r="R3582" t="n">
        <v>0.02393</v>
      </c>
      <c r="S3582">
        <f>IMAGE("https://mitra.stanford.edu/kundaje/oak/projects/neuro-variants/variant_position/credible/roussos_2024/variant_figures/roussos_2024.childhood.GLU/rs7762665_count_position.png",4,220,900)</f>
        <v/>
      </c>
      <c r="T3582">
        <f>IMAGE("https://mitra.stanford.edu/kundaje/oak/projects/neuro-variants/variant_position/credible/roussos_2024/variant_figures/roussos_2024.childhood.GLU/rs7762665_profile_position.png",4,220,900)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-0.0103493639</v>
      </c>
      <c r="G3583" t="n">
        <v>0.258133122215862</v>
      </c>
      <c r="H3583" t="n">
        <v>0.0184352394872702</v>
      </c>
      <c r="I3583" t="n">
        <v>0.1563044427316177</v>
      </c>
      <c r="J3583" t="n">
        <v>0.0905117084075947</v>
      </c>
      <c r="K3583" t="n">
        <v>0.2718623406278493</v>
      </c>
      <c r="L3583" t="b">
        <v>0</v>
      </c>
      <c r="M3583" t="b">
        <v>0</v>
      </c>
      <c r="N3583" t="inlineStr">
        <is>
          <t>ref</t>
        </is>
      </c>
      <c r="O3583" t="n">
        <v>35</v>
      </c>
      <c r="P3583" t="n">
        <v>0.0008755</v>
      </c>
      <c r="Q3583" t="n">
        <v>90</v>
      </c>
      <c r="R3583" t="n">
        <v>0.1626</v>
      </c>
      <c r="S3583">
        <f>IMAGE("https://mitra.stanford.edu/kundaje/oak/projects/neuro-variants/variant_position/credible/roussos_2024/variant_figures/roussos_2024.childhood.GLU/rs6568544_count_position.png",4,220,900)</f>
        <v/>
      </c>
      <c r="T3583">
        <f>IMAGE("https://mitra.stanford.edu/kundaje/oak/projects/neuro-variants/variant_position/credible/roussos_2024/variant_figures/roussos_2024.childhood.GLU/rs6568544_profile_position.png",4,220,900)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0.026531651</v>
      </c>
      <c r="G3584" t="n">
        <v>0.2729588114369577</v>
      </c>
      <c r="H3584" t="n">
        <v>0.0110681602752243</v>
      </c>
      <c r="I3584" t="n">
        <v>0.5378419134444663</v>
      </c>
      <c r="J3584" t="n">
        <v>0.1319387639465523</v>
      </c>
      <c r="K3584" t="n">
        <v>0.2043506580773509</v>
      </c>
      <c r="L3584" t="b">
        <v>0</v>
      </c>
      <c r="M3584" t="b">
        <v>0</v>
      </c>
      <c r="N3584" t="inlineStr">
        <is>
          <t>alt</t>
        </is>
      </c>
      <c r="O3584" t="n">
        <v>85</v>
      </c>
      <c r="P3584" t="n">
        <v>0.03204</v>
      </c>
      <c r="Q3584" t="n">
        <v>0</v>
      </c>
      <c r="R3584" t="n">
        <v>0</v>
      </c>
      <c r="S3584">
        <f>IMAGE("https://mitra.stanford.edu/kundaje/oak/projects/neuro-variants/variant_position/credible/roussos_2024/variant_figures/roussos_2024.childhood.GLU/rs78061564_count_position.png",4,220,900)</f>
        <v/>
      </c>
      <c r="T3584">
        <f>IMAGE("https://mitra.stanford.edu/kundaje/oak/projects/neuro-variants/variant_position/credible/roussos_2024/variant_figures/roussos_2024.childhood.GLU/rs78061564_profile_position.png",4,220,900)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-0.111662184</v>
      </c>
      <c r="G3585" t="n">
        <v>0.0373112253231515</v>
      </c>
      <c r="H3585" t="n">
        <v>0.0138209823125216</v>
      </c>
      <c r="I3585" t="n">
        <v>0.311586575064839</v>
      </c>
      <c r="J3585" t="n">
        <v>0.0438923630069951</v>
      </c>
      <c r="K3585" t="n">
        <v>0.3671069942230728</v>
      </c>
      <c r="L3585" t="b">
        <v>0</v>
      </c>
      <c r="M3585" t="b">
        <v>0</v>
      </c>
      <c r="N3585" t="inlineStr">
        <is>
          <t>ref</t>
        </is>
      </c>
      <c r="O3585" t="n">
        <v>30</v>
      </c>
      <c r="P3585" t="n">
        <v>0.002716</v>
      </c>
      <c r="Q3585" t="n">
        <v>25</v>
      </c>
      <c r="R3585" t="n">
        <v>0.09753000000000001</v>
      </c>
      <c r="S3585">
        <f>IMAGE("https://mitra.stanford.edu/kundaje/oak/projects/neuro-variants/variant_position/credible/roussos_2024/variant_figures/roussos_2024.childhood.GLU/rs9398172_count_position.png",4,220,900)</f>
        <v/>
      </c>
      <c r="T3585">
        <f>IMAGE("https://mitra.stanford.edu/kundaje/oak/projects/neuro-variants/variant_position/credible/roussos_2024/variant_figures/roussos_2024.childhood.GLU/rs9398172_profile_position.png",4,220,900)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0.1101916939999999</v>
      </c>
      <c r="G3586" t="n">
        <v>0.0346966734601561</v>
      </c>
      <c r="H3586" t="n">
        <v>0.0222731383778115</v>
      </c>
      <c r="I3586" t="n">
        <v>0.0670101076207662</v>
      </c>
      <c r="J3586" t="n">
        <v>0.09975377831806891</v>
      </c>
      <c r="K3586" t="n">
        <v>0.2491596093857723</v>
      </c>
      <c r="L3586" t="b">
        <v>0</v>
      </c>
      <c r="M3586" t="b">
        <v>0</v>
      </c>
      <c r="N3586" t="inlineStr">
        <is>
          <t>alt</t>
        </is>
      </c>
      <c r="O3586" t="n">
        <v>45</v>
      </c>
      <c r="P3586" t="n">
        <v>0.00641</v>
      </c>
      <c r="Q3586" t="n">
        <v>-5</v>
      </c>
      <c r="R3586" t="n">
        <v>0.003174</v>
      </c>
      <c r="S3586">
        <f>IMAGE("https://mitra.stanford.edu/kundaje/oak/projects/neuro-variants/variant_position/credible/roussos_2024/variant_figures/roussos_2024.childhood.GLU/rs3800228_count_position.png",4,220,900)</f>
        <v/>
      </c>
      <c r="T3586">
        <f>IMAGE("https://mitra.stanford.edu/kundaje/oak/projects/neuro-variants/variant_position/credible/roussos_2024/variant_figures/roussos_2024.childhood.GLU/rs3800228_profile_position.png",4,220,900)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-0.0120007442</v>
      </c>
      <c r="G3587" t="n">
        <v>0.6251371222048386</v>
      </c>
      <c r="H3587" t="n">
        <v>0.0142620612250988</v>
      </c>
      <c r="I3587" t="n">
        <v>0.2875180259426875</v>
      </c>
      <c r="J3587" t="n">
        <v>0.0683301224927111</v>
      </c>
      <c r="K3587" t="n">
        <v>0.3075560771146711</v>
      </c>
      <c r="L3587" t="b">
        <v>0</v>
      </c>
      <c r="M3587" t="b">
        <v>0</v>
      </c>
      <c r="N3587" t="inlineStr">
        <is>
          <t>ref</t>
        </is>
      </c>
      <c r="O3587" t="n">
        <v>80</v>
      </c>
      <c r="P3587" t="n">
        <v>0.02028</v>
      </c>
      <c r="Q3587" t="n">
        <v>-85</v>
      </c>
      <c r="R3587" t="n">
        <v>0.1799</v>
      </c>
      <c r="S3587">
        <f>IMAGE("https://mitra.stanford.edu/kundaje/oak/projects/neuro-variants/variant_position/credible/roussos_2024/variant_figures/roussos_2024.childhood.GLU/rs9374040_count_position.png",4,220,900)</f>
        <v/>
      </c>
      <c r="T3587">
        <f>IMAGE("https://mitra.stanford.edu/kundaje/oak/projects/neuro-variants/variant_position/credible/roussos_2024/variant_figures/roussos_2024.childhood.GLU/rs9374040_profile_position.png",4,220,900)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-0.00180950764</v>
      </c>
      <c r="G3588" t="n">
        <v>0.724151254300763</v>
      </c>
      <c r="H3588" t="n">
        <v>0.0194530815162724</v>
      </c>
      <c r="I3588" t="n">
        <v>0.1069275473937419</v>
      </c>
      <c r="J3588" t="n">
        <v>0.056830848795162</v>
      </c>
      <c r="K3588" t="n">
        <v>0.3339195435612073</v>
      </c>
      <c r="L3588" t="b">
        <v>0</v>
      </c>
      <c r="M3588" t="b">
        <v>0</v>
      </c>
      <c r="N3588" t="inlineStr">
        <is>
          <t>ref</t>
        </is>
      </c>
      <c r="O3588" t="n">
        <v>-15</v>
      </c>
      <c r="P3588" t="n">
        <v>0.0101</v>
      </c>
      <c r="Q3588" t="n">
        <v>75</v>
      </c>
      <c r="R3588" t="n">
        <v>0.0673</v>
      </c>
      <c r="S3588">
        <f>IMAGE("https://mitra.stanford.edu/kundaje/oak/projects/neuro-variants/variant_position/credible/roussos_2024/variant_figures/roussos_2024.childhood.GLU/rs9400240_count_position.png",4,220,900)</f>
        <v/>
      </c>
      <c r="T3588">
        <f>IMAGE("https://mitra.stanford.edu/kundaje/oak/projects/neuro-variants/variant_position/credible/roussos_2024/variant_figures/roussos_2024.childhood.GLU/rs9400240_profile_position.png",4,220,900)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0.0730758056</v>
      </c>
      <c r="G3589" t="n">
        <v>0.09058433449490171</v>
      </c>
      <c r="H3589" t="n">
        <v>0.0186581718626756</v>
      </c>
      <c r="I3589" t="n">
        <v>0.1291705543161123</v>
      </c>
      <c r="J3589" t="n">
        <v>0.0485911792885326</v>
      </c>
      <c r="K3589" t="n">
        <v>0.3648213858118478</v>
      </c>
      <c r="L3589" t="b">
        <v>0</v>
      </c>
      <c r="M3589" t="b">
        <v>0</v>
      </c>
      <c r="N3589" t="inlineStr">
        <is>
          <t>alt</t>
        </is>
      </c>
      <c r="O3589" t="n">
        <v>-100</v>
      </c>
      <c r="P3589" t="n">
        <v>0.012024</v>
      </c>
      <c r="Q3589" t="n">
        <v>-10</v>
      </c>
      <c r="R3589" t="n">
        <v>0.006104</v>
      </c>
      <c r="S3589">
        <f>IMAGE("https://mitra.stanford.edu/kundaje/oak/projects/neuro-variants/variant_position/credible/roussos_2024/variant_figures/roussos_2024.childhood.GLU/rs3800231_count_position.png",4,220,900)</f>
        <v/>
      </c>
      <c r="T3589">
        <f>IMAGE("https://mitra.stanford.edu/kundaje/oak/projects/neuro-variants/variant_position/credible/roussos_2024/variant_figures/roussos_2024.childhood.GLU/rs3800231_profile_position.png",4,220,900)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-0.029031262</v>
      </c>
      <c r="G3590" t="n">
        <v>0.3401804276537433</v>
      </c>
      <c r="H3590" t="n">
        <v>0.009966382523601601</v>
      </c>
      <c r="I3590" t="n">
        <v>0.653669873494359</v>
      </c>
      <c r="J3590" t="n">
        <v>0.0819547322983093</v>
      </c>
      <c r="K3590" t="n">
        <v>0.2797775764229371</v>
      </c>
      <c r="L3590" t="b">
        <v>0</v>
      </c>
      <c r="M3590" t="b">
        <v>0</v>
      </c>
      <c r="N3590" t="inlineStr">
        <is>
          <t>ref</t>
        </is>
      </c>
      <c r="O3590" t="n">
        <v>-15</v>
      </c>
      <c r="P3590" t="n">
        <v>0.001437</v>
      </c>
      <c r="Q3590" t="n">
        <v>-50</v>
      </c>
      <c r="R3590" t="n">
        <v>0.07043000000000001</v>
      </c>
      <c r="S3590">
        <f>IMAGE("https://mitra.stanford.edu/kundaje/oak/projects/neuro-variants/variant_position/credible/roussos_2024/variant_figures/roussos_2024.childhood.GLU/rs9400241_count_position.png",4,220,900)</f>
        <v/>
      </c>
      <c r="T3590">
        <f>IMAGE("https://mitra.stanford.edu/kundaje/oak/projects/neuro-variants/variant_position/credible/roussos_2024/variant_figures/roussos_2024.childhood.GLU/rs9400241_profile_position.png",4,220,900)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-0.0124540948799999</v>
      </c>
      <c r="G3591" t="n">
        <v>0.5818079885468318</v>
      </c>
      <c r="H3591" t="n">
        <v>0.0331241507272864</v>
      </c>
      <c r="I3591" t="n">
        <v>0.0141120012911932</v>
      </c>
      <c r="J3591" t="n">
        <v>0.0104597855089782</v>
      </c>
      <c r="K3591" t="n">
        <v>0.5803202847720144</v>
      </c>
      <c r="L3591" t="b">
        <v>1</v>
      </c>
      <c r="M3591" t="b">
        <v>0</v>
      </c>
      <c r="N3591" t="inlineStr">
        <is>
          <t>ref</t>
        </is>
      </c>
      <c r="O3591" t="n">
        <v>20</v>
      </c>
      <c r="P3591" t="n">
        <v>0.00116</v>
      </c>
      <c r="Q3591" t="n">
        <v>-5</v>
      </c>
      <c r="R3591" t="n">
        <v>0.002441</v>
      </c>
      <c r="S3591">
        <f>IMAGE("https://mitra.stanford.edu/kundaje/oak/projects/neuro-variants/variant_position/credible/roussos_2024/variant_figures/roussos_2024.childhood.GLU/rs112540208_count_position.png",4,220,900)</f>
        <v/>
      </c>
      <c r="T3591">
        <f>IMAGE("https://mitra.stanford.edu/kundaje/oak/projects/neuro-variants/variant_position/credible/roussos_2024/variant_figures/roussos_2024.childhood.GLU/rs112540208_profile_position.png",4,220,900)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-0.0522463968</v>
      </c>
      <c r="G3592" t="n">
        <v>0.1655084142927574</v>
      </c>
      <c r="H3592" t="n">
        <v>0.0203113358004601</v>
      </c>
      <c r="I3592" t="n">
        <v>0.0946431019053368</v>
      </c>
      <c r="J3592" t="n">
        <v>0.0346492628802785</v>
      </c>
      <c r="K3592" t="n">
        <v>0.4064042069432223</v>
      </c>
      <c r="L3592" t="b">
        <v>0</v>
      </c>
      <c r="M3592" t="b">
        <v>0</v>
      </c>
      <c r="N3592" t="inlineStr">
        <is>
          <t>ref</t>
        </is>
      </c>
      <c r="O3592" t="n">
        <v>100</v>
      </c>
      <c r="P3592" t="n">
        <v>0.039</v>
      </c>
      <c r="Q3592" t="n">
        <v>-35</v>
      </c>
      <c r="R3592" t="n">
        <v>0.03223</v>
      </c>
      <c r="S3592">
        <f>IMAGE("https://mitra.stanford.edu/kundaje/oak/projects/neuro-variants/variant_position/credible/roussos_2024/variant_figures/roussos_2024.childhood.GLU/rs9320364_count_position.png",4,220,900)</f>
        <v/>
      </c>
      <c r="T3592">
        <f>IMAGE("https://mitra.stanford.edu/kundaje/oak/projects/neuro-variants/variant_position/credible/roussos_2024/variant_figures/roussos_2024.childhood.GLU/rs9320364_profile_position.png",4,220,900)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-0.00223911249</v>
      </c>
      <c r="G3593" t="n">
        <v>0.7860862346337993</v>
      </c>
      <c r="H3593" t="n">
        <v>0.0482414985673674</v>
      </c>
      <c r="I3593" t="n">
        <v>0.0031815530077378</v>
      </c>
      <c r="J3593" t="n">
        <v>0.0376502827943584</v>
      </c>
      <c r="K3593" t="n">
        <v>0.3981966272130774</v>
      </c>
      <c r="L3593" t="b">
        <v>1</v>
      </c>
      <c r="M3593" t="b">
        <v>0</v>
      </c>
      <c r="N3593" t="inlineStr">
        <is>
          <t>ref</t>
        </is>
      </c>
      <c r="O3593" t="n">
        <v>-65</v>
      </c>
      <c r="P3593" t="n">
        <v>0.012146</v>
      </c>
      <c r="Q3593" t="n">
        <v>-85</v>
      </c>
      <c r="R3593" t="n">
        <v>0.07355</v>
      </c>
      <c r="S3593">
        <f>IMAGE("https://mitra.stanford.edu/kundaje/oak/projects/neuro-variants/variant_position/credible/roussos_2024/variant_figures/roussos_2024.childhood.GLU/rs7746225_count_position.png",4,220,900)</f>
        <v/>
      </c>
      <c r="T3593">
        <f>IMAGE("https://mitra.stanford.edu/kundaje/oak/projects/neuro-variants/variant_position/credible/roussos_2024/variant_figures/roussos_2024.childhood.GLU/rs7746225_profile_position.png",4,220,900)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-0.00351960384</v>
      </c>
      <c r="G3594" t="n">
        <v>0.7905755550084481</v>
      </c>
      <c r="H3594" t="n">
        <v>0.0339003965381207</v>
      </c>
      <c r="I3594" t="n">
        <v>0.0128030874524983</v>
      </c>
      <c r="J3594" t="n">
        <v>0.0617995817322055</v>
      </c>
      <c r="K3594" t="n">
        <v>0.3234205438739876</v>
      </c>
      <c r="L3594" t="b">
        <v>1</v>
      </c>
      <c r="M3594" t="b">
        <v>0</v>
      </c>
      <c r="N3594" t="inlineStr">
        <is>
          <t>ref</t>
        </is>
      </c>
      <c r="O3594" t="n">
        <v>-65</v>
      </c>
      <c r="P3594" t="n">
        <v>0.004684</v>
      </c>
      <c r="Q3594" t="n">
        <v>-25</v>
      </c>
      <c r="R3594" t="n">
        <v>0.03235</v>
      </c>
      <c r="S3594">
        <f>IMAGE("https://mitra.stanford.edu/kundaje/oak/projects/neuro-variants/variant_position/credible/roussos_2024/variant_figures/roussos_2024.childhood.GLU/rs9487653_count_position.png",4,220,900)</f>
        <v/>
      </c>
      <c r="T3594">
        <f>IMAGE("https://mitra.stanford.edu/kundaje/oak/projects/neuro-variants/variant_position/credible/roussos_2024/variant_figures/roussos_2024.childhood.GLU/rs9487653_profile_position.png",4,220,900)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-0.0136494903</v>
      </c>
      <c r="G3595" t="n">
        <v>0.5822293535726901</v>
      </c>
      <c r="H3595" t="n">
        <v>0.0343113594510701</v>
      </c>
      <c r="I3595" t="n">
        <v>0.0124205805615946</v>
      </c>
      <c r="J3595" t="n">
        <v>0.0045113169254226</v>
      </c>
      <c r="K3595" t="n">
        <v>0.685782498271246</v>
      </c>
      <c r="L3595" t="b">
        <v>0</v>
      </c>
      <c r="M3595" t="b">
        <v>0</v>
      </c>
      <c r="N3595" t="inlineStr">
        <is>
          <t>ref</t>
        </is>
      </c>
      <c r="O3595" t="n">
        <v>-10</v>
      </c>
      <c r="P3595" t="n">
        <v>0.0002441</v>
      </c>
      <c r="Q3595" t="n">
        <v>-100</v>
      </c>
      <c r="R3595" t="n">
        <v>0.1869</v>
      </c>
      <c r="S3595">
        <f>IMAGE("https://mitra.stanford.edu/kundaje/oak/projects/neuro-variants/variant_position/credible/roussos_2024/variant_figures/roussos_2024.childhood.GLU/rs9320366_count_position.png",4,220,900)</f>
        <v/>
      </c>
      <c r="T3595">
        <f>IMAGE("https://mitra.stanford.edu/kundaje/oak/projects/neuro-variants/variant_position/credible/roussos_2024/variant_figures/roussos_2024.childhood.GLU/rs9320366_profile_position.png",4,220,900)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0.127601242</v>
      </c>
      <c r="G3596" t="n">
        <v>0.0253252248774532</v>
      </c>
      <c r="H3596" t="n">
        <v>0.0136495006656683</v>
      </c>
      <c r="I3596" t="n">
        <v>0.3093407360082331</v>
      </c>
      <c r="J3596" t="n">
        <v>0.0802765100394572</v>
      </c>
      <c r="K3596" t="n">
        <v>0.2860336702722577</v>
      </c>
      <c r="L3596" t="b">
        <v>0</v>
      </c>
      <c r="M3596" t="b">
        <v>0</v>
      </c>
      <c r="N3596" t="inlineStr">
        <is>
          <t>alt</t>
        </is>
      </c>
      <c r="O3596" t="n">
        <v>-75</v>
      </c>
      <c r="P3596" t="n">
        <v>0.008736000000000001</v>
      </c>
      <c r="Q3596" t="n">
        <v>-100</v>
      </c>
      <c r="R3596" t="n">
        <v>0.0863</v>
      </c>
      <c r="S3596">
        <f>IMAGE("https://mitra.stanford.edu/kundaje/oak/projects/neuro-variants/variant_position/credible/roussos_2024/variant_figures/roussos_2024.childhood.GLU/rs4945884_count_position.png",4,220,900)</f>
        <v/>
      </c>
      <c r="T3596">
        <f>IMAGE("https://mitra.stanford.edu/kundaje/oak/projects/neuro-variants/variant_position/credible/roussos_2024/variant_figures/roussos_2024.childhood.GLU/rs4945884_profile_position.png",4,220,900)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-0.0430081261999999</v>
      </c>
      <c r="G3597" t="n">
        <v>0.2239129547339989</v>
      </c>
      <c r="H3597" t="n">
        <v>0.0074853466469787</v>
      </c>
      <c r="I3597" t="n">
        <v>0.8973559629069955</v>
      </c>
      <c r="J3597" t="n">
        <v>0.008277787507597801</v>
      </c>
      <c r="K3597" t="n">
        <v>0.6200481061637112</v>
      </c>
      <c r="L3597" t="b">
        <v>0</v>
      </c>
      <c r="M3597" t="b">
        <v>0</v>
      </c>
      <c r="N3597" t="inlineStr">
        <is>
          <t>ref</t>
        </is>
      </c>
      <c r="O3597" t="n">
        <v>70</v>
      </c>
      <c r="P3597" t="n">
        <v>0.003696</v>
      </c>
      <c r="Q3597" t="n">
        <v>30</v>
      </c>
      <c r="R3597" t="n">
        <v>0.06714000000000001</v>
      </c>
      <c r="S3597">
        <f>IMAGE("https://mitra.stanford.edu/kundaje/oak/projects/neuro-variants/variant_position/credible/roussos_2024/variant_figures/roussos_2024.childhood.GLU/rs12214623_count_position.png",4,220,900)</f>
        <v/>
      </c>
      <c r="T3597">
        <f>IMAGE("https://mitra.stanford.edu/kundaje/oak/projects/neuro-variants/variant_position/credible/roussos_2024/variant_figures/roussos_2024.childhood.GLU/rs12214623_profile_position.png",4,220,900)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-0.0486402952</v>
      </c>
      <c r="G3598" t="n">
        <v>0.1884928574359311</v>
      </c>
      <c r="H3598" t="n">
        <v>0.0169443437425053</v>
      </c>
      <c r="I3598" t="n">
        <v>0.1756843785554226</v>
      </c>
      <c r="J3598" t="n">
        <v>0.0229130394469798</v>
      </c>
      <c r="K3598" t="n">
        <v>0.477683456816945</v>
      </c>
      <c r="L3598" t="b">
        <v>0</v>
      </c>
      <c r="M3598" t="b">
        <v>0</v>
      </c>
      <c r="N3598" t="inlineStr">
        <is>
          <t>ref</t>
        </is>
      </c>
      <c r="O3598" t="n">
        <v>-35</v>
      </c>
      <c r="P3598" t="n">
        <v>0.03806</v>
      </c>
      <c r="Q3598" t="n">
        <v>15</v>
      </c>
      <c r="R3598" t="n">
        <v>0.01929</v>
      </c>
      <c r="S3598">
        <f>IMAGE("https://mitra.stanford.edu/kundaje/oak/projects/neuro-variants/variant_position/credible/roussos_2024/variant_figures/roussos_2024.childhood.GLU/rs1592148_count_position.png",4,220,900)</f>
        <v/>
      </c>
      <c r="T3598">
        <f>IMAGE("https://mitra.stanford.edu/kundaje/oak/projects/neuro-variants/variant_position/credible/roussos_2024/variant_figures/roussos_2024.childhood.GLU/rs1592148_profile_position.png",4,220,900)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0.0639126468</v>
      </c>
      <c r="G3599" t="n">
        <v>0.1178837065061681</v>
      </c>
      <c r="H3599" t="n">
        <v>0.0158555362294536</v>
      </c>
      <c r="I3599" t="n">
        <v>0.2106436438089269</v>
      </c>
      <c r="J3599" t="n">
        <v>0.0048945573675914</v>
      </c>
      <c r="K3599" t="n">
        <v>0.6733968420690319</v>
      </c>
      <c r="L3599" t="b">
        <v>0</v>
      </c>
      <c r="M3599" t="b">
        <v>0</v>
      </c>
      <c r="N3599" t="inlineStr">
        <is>
          <t>alt</t>
        </is>
      </c>
      <c r="O3599" t="n">
        <v>55</v>
      </c>
      <c r="P3599" t="n">
        <v>0.006176</v>
      </c>
      <c r="Q3599" t="n">
        <v>50</v>
      </c>
      <c r="R3599" t="n">
        <v>0.04846</v>
      </c>
      <c r="S3599">
        <f>IMAGE("https://mitra.stanford.edu/kundaje/oak/projects/neuro-variants/variant_position/credible/roussos_2024/variant_figures/roussos_2024.childhood.GLU/rs6568750_count_position.png",4,220,900)</f>
        <v/>
      </c>
      <c r="T3599">
        <f>IMAGE("https://mitra.stanford.edu/kundaje/oak/projects/neuro-variants/variant_position/credible/roussos_2024/variant_figures/roussos_2024.childhood.GLU/rs6568750_profile_position.png",4,220,900)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-0.1104740608</v>
      </c>
      <c r="G3600" t="n">
        <v>0.0363191078594216</v>
      </c>
      <c r="H3600" t="n">
        <v>0.0186686541790241</v>
      </c>
      <c r="I3600" t="n">
        <v>0.1260830262408704</v>
      </c>
      <c r="J3600" t="n">
        <v>0.0157860034821308</v>
      </c>
      <c r="K3600" t="n">
        <v>0.5213066222745026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0.01138</v>
      </c>
      <c r="Q3600" t="n">
        <v>60</v>
      </c>
      <c r="R3600" t="n">
        <v>0.0707</v>
      </c>
      <c r="S3600">
        <f>IMAGE("https://mitra.stanford.edu/kundaje/oak/projects/neuro-variants/variant_position/credible/roussos_2024/variant_figures/roussos_2024.childhood.GLU/rs7738702_count_position.png",4,220,900)</f>
        <v/>
      </c>
      <c r="T3600">
        <f>IMAGE("https://mitra.stanford.edu/kundaje/oak/projects/neuro-variants/variant_position/credible/roussos_2024/variant_figures/roussos_2024.childhood.GLU/rs7738702_profile_position.png",4,220,900)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0.0476543604</v>
      </c>
      <c r="G3601" t="n">
        <v>0.1920339571785634</v>
      </c>
      <c r="H3601" t="n">
        <v>0.0120961661487769</v>
      </c>
      <c r="I3601" t="n">
        <v>0.4250241210031842</v>
      </c>
      <c r="J3601" t="n">
        <v>0.0032771178670402</v>
      </c>
      <c r="K3601" t="n">
        <v>0.7182706895229394</v>
      </c>
      <c r="L3601" t="b">
        <v>0</v>
      </c>
      <c r="M3601" t="b">
        <v>0</v>
      </c>
      <c r="N3601" t="inlineStr">
        <is>
          <t>alt</t>
        </is>
      </c>
      <c r="O3601" t="n">
        <v>100</v>
      </c>
      <c r="P3601" t="n">
        <v>0.01154</v>
      </c>
      <c r="Q3601" t="n">
        <v>25</v>
      </c>
      <c r="R3601" t="n">
        <v>0.05542</v>
      </c>
      <c r="S3601">
        <f>IMAGE("https://mitra.stanford.edu/kundaje/oak/projects/neuro-variants/variant_position/credible/roussos_2024/variant_figures/roussos_2024.childhood.GLU/rs6937893_count_position.png",4,220,900)</f>
        <v/>
      </c>
      <c r="T3601">
        <f>IMAGE("https://mitra.stanford.edu/kundaje/oak/projects/neuro-variants/variant_position/credible/roussos_2024/variant_figures/roussos_2024.childhood.GLU/rs6937893_profile_position.png",4,220,900)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-0.467653754</v>
      </c>
      <c r="G3602" t="n">
        <v>0.0004098348017303</v>
      </c>
      <c r="H3602" t="n">
        <v>0.0532292303968675</v>
      </c>
      <c r="I3602" t="n">
        <v>0.0022701784161437</v>
      </c>
      <c r="J3602" t="n">
        <v>0.1162269360338734</v>
      </c>
      <c r="K3602" t="n">
        <v>0.2240499471136229</v>
      </c>
      <c r="L3602" t="b">
        <v>1</v>
      </c>
      <c r="M3602" t="b">
        <v>1</v>
      </c>
      <c r="N3602" t="inlineStr">
        <is>
          <t>ref</t>
        </is>
      </c>
      <c r="O3602" t="n">
        <v>85</v>
      </c>
      <c r="P3602" t="n">
        <v>0.00611</v>
      </c>
      <c r="Q3602" t="n">
        <v>-100</v>
      </c>
      <c r="R3602" t="n">
        <v>0.0742</v>
      </c>
      <c r="S3602">
        <f>IMAGE("https://mitra.stanford.edu/kundaje/oak/projects/neuro-variants/variant_position/credible/roussos_2024/variant_figures/roussos_2024.childhood.GLU/rs13218679_count_position.png",4,220,900)</f>
        <v/>
      </c>
      <c r="T3602">
        <f>IMAGE("https://mitra.stanford.edu/kundaje/oak/projects/neuro-variants/variant_position/credible/roussos_2024/variant_figures/roussos_2024.childhood.GLU/rs13218679_profile_position.png",4,220,900)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-0.0426074397999999</v>
      </c>
      <c r="G3603" t="n">
        <v>0.2327539334823225</v>
      </c>
      <c r="H3603" t="n">
        <v>0.0097754439989383</v>
      </c>
      <c r="I3603" t="n">
        <v>0.6720756925753611</v>
      </c>
      <c r="J3603" t="n">
        <v>0.2342794152492608</v>
      </c>
      <c r="K3603" t="n">
        <v>0.1280637174631413</v>
      </c>
      <c r="L3603" t="b">
        <v>0</v>
      </c>
      <c r="M3603" t="b">
        <v>0</v>
      </c>
      <c r="N3603" t="inlineStr">
        <is>
          <t>ref</t>
        </is>
      </c>
      <c r="O3603" t="n">
        <v>85</v>
      </c>
      <c r="P3603" t="n">
        <v>0.0462</v>
      </c>
      <c r="Q3603" t="n">
        <v>95</v>
      </c>
      <c r="R3603" t="n">
        <v>0.1166</v>
      </c>
      <c r="S3603">
        <f>IMAGE("https://mitra.stanford.edu/kundaje/oak/projects/neuro-variants/variant_position/credible/roussos_2024/variant_figures/roussos_2024.childhood.GLU/rs2502388_count_position.png",4,220,900)</f>
        <v/>
      </c>
      <c r="T3603">
        <f>IMAGE("https://mitra.stanford.edu/kundaje/oak/projects/neuro-variants/variant_position/credible/roussos_2024/variant_figures/roussos_2024.childhood.GLU/rs2502388_profile_position.png",4,220,900)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0.1607116582</v>
      </c>
      <c r="G3604" t="n">
        <v>0.0159952045787463</v>
      </c>
      <c r="H3604" t="n">
        <v>0.0235718321180399</v>
      </c>
      <c r="I3604" t="n">
        <v>0.06522984976559321</v>
      </c>
      <c r="J3604" t="n">
        <v>0.0236187375730165</v>
      </c>
      <c r="K3604" t="n">
        <v>0.4750468876783049</v>
      </c>
      <c r="L3604" t="b">
        <v>1</v>
      </c>
      <c r="M3604" t="b">
        <v>0</v>
      </c>
      <c r="N3604" t="inlineStr">
        <is>
          <t>alt</t>
        </is>
      </c>
      <c r="O3604" t="n">
        <v>-35</v>
      </c>
      <c r="P3604" t="n">
        <v>0.01062</v>
      </c>
      <c r="Q3604" t="n">
        <v>-85</v>
      </c>
      <c r="R3604" t="n">
        <v>0.03247</v>
      </c>
      <c r="S3604">
        <f>IMAGE("https://mitra.stanford.edu/kundaje/oak/projects/neuro-variants/variant_position/credible/roussos_2024/variant_figures/roussos_2024.childhood.GLU/rs13195261_count_position.png",4,220,900)</f>
        <v/>
      </c>
      <c r="T3604">
        <f>IMAGE("https://mitra.stanford.edu/kundaje/oak/projects/neuro-variants/variant_position/credible/roussos_2024/variant_figures/roussos_2024.childhood.GLU/rs13195261_profile_position.png",4,220,900)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-0.0975744618</v>
      </c>
      <c r="G3605" t="n">
        <v>0.0511481672871208</v>
      </c>
      <c r="H3605" t="n">
        <v>0.0314072996798003</v>
      </c>
      <c r="I3605" t="n">
        <v>0.0177332986240757</v>
      </c>
      <c r="J3605" t="n">
        <v>0.0027826140706933</v>
      </c>
      <c r="K3605" t="n">
        <v>0.7614124788105948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0.02911</v>
      </c>
      <c r="Q3605" t="n">
        <v>50</v>
      </c>
      <c r="R3605" t="n">
        <v>0.1453</v>
      </c>
      <c r="S3605">
        <f>IMAGE("https://mitra.stanford.edu/kundaje/oak/projects/neuro-variants/variant_position/credible/roussos_2024/variant_figures/roussos_2024.childhood.GLU/rs1321026_count_position.png",4,220,900)</f>
        <v/>
      </c>
      <c r="T3605">
        <f>IMAGE("https://mitra.stanford.edu/kundaje/oak/projects/neuro-variants/variant_position/credible/roussos_2024/variant_figures/roussos_2024.childhood.GLU/rs1321026_profile_position.png",4,220,900)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0.06402651519999999</v>
      </c>
      <c r="G3606" t="n">
        <v>0.1182628897045403</v>
      </c>
      <c r="H3606" t="n">
        <v>0.0252508399210116</v>
      </c>
      <c r="I3606" t="n">
        <v>0.0421683845807693</v>
      </c>
      <c r="J3606" t="n">
        <v>0.0152235054137862</v>
      </c>
      <c r="K3606" t="n">
        <v>0.5333685541385887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0.004234</v>
      </c>
      <c r="Q3606" t="n">
        <v>100</v>
      </c>
      <c r="R3606" t="n">
        <v>0.1257</v>
      </c>
      <c r="S3606">
        <f>IMAGE("https://mitra.stanford.edu/kundaje/oak/projects/neuro-variants/variant_position/credible/roussos_2024/variant_figures/roussos_2024.childhood.GLU/rs902780_count_position.png",4,220,900)</f>
        <v/>
      </c>
      <c r="T3606">
        <f>IMAGE("https://mitra.stanford.edu/kundaje/oak/projects/neuro-variants/variant_position/credible/roussos_2024/variant_figures/roussos_2024.childhood.GLU/rs902780_profile_position.png",4,220,900)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0.0486190536</v>
      </c>
      <c r="G3607" t="n">
        <v>0.185749727281544</v>
      </c>
      <c r="H3607" t="n">
        <v>0.022112879862399</v>
      </c>
      <c r="I3607" t="n">
        <v>0.06846302112823251</v>
      </c>
      <c r="J3607" t="n">
        <v>0.9417237578167656</v>
      </c>
      <c r="K3607" t="n">
        <v>0.0005498915327428</v>
      </c>
      <c r="L3607" t="b">
        <v>0</v>
      </c>
      <c r="M3607" t="b">
        <v>0</v>
      </c>
      <c r="N3607" t="inlineStr">
        <is>
          <t>alt</t>
        </is>
      </c>
      <c r="O3607" t="n">
        <v>-85</v>
      </c>
      <c r="P3607" t="n">
        <v>0.03116</v>
      </c>
      <c r="Q3607" t="n">
        <v>-60</v>
      </c>
      <c r="R3607" t="n">
        <v>0.1758</v>
      </c>
      <c r="S3607">
        <f>IMAGE("https://mitra.stanford.edu/kundaje/oak/projects/neuro-variants/variant_position/credible/roussos_2024/variant_figures/roussos_2024.childhood.GLU/rs114000233_count_position.png",4,220,900)</f>
        <v/>
      </c>
      <c r="T3607">
        <f>IMAGE("https://mitra.stanford.edu/kundaje/oak/projects/neuro-variants/variant_position/credible/roussos_2024/variant_figures/roussos_2024.childhood.GLU/rs114000233_profile_position.png",4,220,900)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-0.090415408</v>
      </c>
      <c r="G3608" t="n">
        <v>0.0614901546183436</v>
      </c>
      <c r="H3608" t="n">
        <v>0.0228897749343627</v>
      </c>
      <c r="I3608" t="n">
        <v>0.0612099220621642</v>
      </c>
      <c r="J3608" t="n">
        <v>0.0010034306200871</v>
      </c>
      <c r="K3608" t="n">
        <v>0.8487586926724837</v>
      </c>
      <c r="L3608" t="b">
        <v>0</v>
      </c>
      <c r="M3608" t="b">
        <v>0</v>
      </c>
      <c r="N3608" t="inlineStr">
        <is>
          <t>ref</t>
        </is>
      </c>
      <c r="O3608" t="n">
        <v>-70</v>
      </c>
      <c r="P3608" t="n">
        <v>0.011536</v>
      </c>
      <c r="Q3608" t="n">
        <v>-60</v>
      </c>
      <c r="R3608" t="n">
        <v>0.009155</v>
      </c>
      <c r="S3608">
        <f>IMAGE("https://mitra.stanford.edu/kundaje/oak/projects/neuro-variants/variant_position/credible/roussos_2024/variant_figures/roussos_2024.childhood.GLU/rs6901738_count_position.png",4,220,900)</f>
        <v/>
      </c>
      <c r="T3608">
        <f>IMAGE("https://mitra.stanford.edu/kundaje/oak/projects/neuro-variants/variant_position/credible/roussos_2024/variant_figures/roussos_2024.childhood.GLU/rs6901738_profile_position.png",4,220,900)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0.09512024079999989</v>
      </c>
      <c r="G3609" t="n">
        <v>0.0573086225402023</v>
      </c>
      <c r="H3609" t="n">
        <v>0.0338541651891284</v>
      </c>
      <c r="I3609" t="n">
        <v>0.0130947966137037</v>
      </c>
      <c r="J3609" t="n">
        <v>0.063042022520527</v>
      </c>
      <c r="K3609" t="n">
        <v>0.3204998710359016</v>
      </c>
      <c r="L3609" t="b">
        <v>1</v>
      </c>
      <c r="M3609" t="b">
        <v>0</v>
      </c>
      <c r="N3609" t="inlineStr">
        <is>
          <t>alt</t>
        </is>
      </c>
      <c r="O3609" t="n">
        <v>45</v>
      </c>
      <c r="P3609" t="n">
        <v>0.00787</v>
      </c>
      <c r="Q3609" t="n">
        <v>85</v>
      </c>
      <c r="R3609" t="n">
        <v>0.09155000000000001</v>
      </c>
      <c r="S3609">
        <f>IMAGE("https://mitra.stanford.edu/kundaje/oak/projects/neuro-variants/variant_position/credible/roussos_2024/variant_figures/roussos_2024.childhood.GLU/rs4946382_count_position.png",4,220,900)</f>
        <v/>
      </c>
      <c r="T3609">
        <f>IMAGE("https://mitra.stanford.edu/kundaje/oak/projects/neuro-variants/variant_position/credible/roussos_2024/variant_figures/roussos_2024.childhood.GLU/rs4946382_profile_position.png",4,220,900)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0.0359732708</v>
      </c>
      <c r="G3610" t="n">
        <v>0.2736242117453051</v>
      </c>
      <c r="H3610" t="n">
        <v>0.0101971167824803</v>
      </c>
      <c r="I3610" t="n">
        <v>0.6357846922726152</v>
      </c>
      <c r="J3610" t="n">
        <v>0.0014639372804351</v>
      </c>
      <c r="K3610" t="n">
        <v>0.7906461368642342</v>
      </c>
      <c r="L3610" t="b">
        <v>0</v>
      </c>
      <c r="M3610" t="b">
        <v>0</v>
      </c>
      <c r="N3610" t="inlineStr">
        <is>
          <t>alt</t>
        </is>
      </c>
      <c r="O3610" t="n">
        <v>85</v>
      </c>
      <c r="P3610" t="n">
        <v>0.007904</v>
      </c>
      <c r="Q3610" t="n">
        <v>15</v>
      </c>
      <c r="R3610" t="n">
        <v>0.01213</v>
      </c>
      <c r="S3610">
        <f>IMAGE("https://mitra.stanford.edu/kundaje/oak/projects/neuro-variants/variant_position/credible/roussos_2024/variant_figures/roussos_2024.childhood.GLU/rs1775620_count_position.png",4,220,900)</f>
        <v/>
      </c>
      <c r="T3610">
        <f>IMAGE("https://mitra.stanford.edu/kundaje/oak/projects/neuro-variants/variant_position/credible/roussos_2024/variant_figures/roussos_2024.childhood.GLU/rs1775620_profile_position.png",4,220,900)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0.08964316460000001</v>
      </c>
      <c r="G3611" t="n">
        <v>0.06421772418157989</v>
      </c>
      <c r="H3611" t="n">
        <v>0.0152255658773088</v>
      </c>
      <c r="I3611" t="n">
        <v>0.2501407086828929</v>
      </c>
      <c r="J3611" t="n">
        <v>0.08766006984866111</v>
      </c>
      <c r="K3611" t="n">
        <v>0.2810688128595567</v>
      </c>
      <c r="L3611" t="b">
        <v>0</v>
      </c>
      <c r="M3611" t="b">
        <v>0</v>
      </c>
      <c r="N3611" t="inlineStr">
        <is>
          <t>alt</t>
        </is>
      </c>
      <c r="O3611" t="n">
        <v>-100</v>
      </c>
      <c r="P3611" t="n">
        <v>0.0434</v>
      </c>
      <c r="Q3611" t="n">
        <v>-100</v>
      </c>
      <c r="R3611" t="n">
        <v>0.1461</v>
      </c>
      <c r="S3611">
        <f>IMAGE("https://mitra.stanford.edu/kundaje/oak/projects/neuro-variants/variant_position/credible/roussos_2024/variant_figures/roussos_2024.childhood.GLU/rs6931074_count_position.png",4,220,900)</f>
        <v/>
      </c>
      <c r="T3611">
        <f>IMAGE("https://mitra.stanford.edu/kundaje/oak/projects/neuro-variants/variant_position/credible/roussos_2024/variant_figures/roussos_2024.childhood.GLU/rs6931074_profile_position.png",4,220,900)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-0.1022905142</v>
      </c>
      <c r="G3612" t="n">
        <v>0.0467609433884145</v>
      </c>
      <c r="H3612" t="n">
        <v>0.0139869825936418</v>
      </c>
      <c r="I3612" t="n">
        <v>0.3037639749917384</v>
      </c>
      <c r="J3612" t="n">
        <v>0.007857459280702901</v>
      </c>
      <c r="K3612" t="n">
        <v>0.6185007087292371</v>
      </c>
      <c r="L3612" t="b">
        <v>0</v>
      </c>
      <c r="M3612" t="b">
        <v>0</v>
      </c>
      <c r="N3612" t="inlineStr">
        <is>
          <t>ref</t>
        </is>
      </c>
      <c r="O3612" t="n">
        <v>-80</v>
      </c>
      <c r="P3612" t="n">
        <v>0.00679</v>
      </c>
      <c r="Q3612" t="n">
        <v>100</v>
      </c>
      <c r="R3612" t="n">
        <v>0.1937</v>
      </c>
      <c r="S3612">
        <f>IMAGE("https://mitra.stanford.edu/kundaje/oak/projects/neuro-variants/variant_position/credible/roussos_2024/variant_figures/roussos_2024.childhood.GLU/rs2357023_count_position.png",4,220,900)</f>
        <v/>
      </c>
      <c r="T3612">
        <f>IMAGE("https://mitra.stanford.edu/kundaje/oak/projects/neuro-variants/variant_position/credible/roussos_2024/variant_figures/roussos_2024.childhood.GLU/rs2357023_profile_position.png",4,220,900)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-0.07288332879999999</v>
      </c>
      <c r="G3613" t="n">
        <v>0.1018848099705712</v>
      </c>
      <c r="H3613" t="n">
        <v>0.0135207563867801</v>
      </c>
      <c r="I3613" t="n">
        <v>0.3315956877948543</v>
      </c>
      <c r="J3613" t="n">
        <v>0.4226626969000793</v>
      </c>
      <c r="K3613" t="n">
        <v>0.0587473008352062</v>
      </c>
      <c r="L3613" t="b">
        <v>0</v>
      </c>
      <c r="M3613" t="b">
        <v>0</v>
      </c>
      <c r="N3613" t="inlineStr">
        <is>
          <t>ref</t>
        </is>
      </c>
      <c r="O3613" t="n">
        <v>45</v>
      </c>
      <c r="P3613" t="n">
        <v>0.02814</v>
      </c>
      <c r="Q3613" t="n">
        <v>90</v>
      </c>
      <c r="R3613" t="n">
        <v>0.1536</v>
      </c>
      <c r="S3613">
        <f>IMAGE("https://mitra.stanford.edu/kundaje/oak/projects/neuro-variants/variant_position/credible/roussos_2024/variant_figures/roussos_2024.childhood.GLU/rs6929403_count_position.png",4,220,900)</f>
        <v/>
      </c>
      <c r="T3613">
        <f>IMAGE("https://mitra.stanford.edu/kundaje/oak/projects/neuro-variants/variant_position/credible/roussos_2024/variant_figures/roussos_2024.childhood.GLU/rs6929403_profile_position.png",4,220,900)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0.0299353775</v>
      </c>
      <c r="G3614" t="n">
        <v>0.3205760810326019</v>
      </c>
      <c r="H3614" t="n">
        <v>0.0175468588190452</v>
      </c>
      <c r="I3614" t="n">
        <v>0.1501924918583045</v>
      </c>
      <c r="J3614" t="n">
        <v>0.0206918932283886</v>
      </c>
      <c r="K3614" t="n">
        <v>0.4856793727695985</v>
      </c>
      <c r="L3614" t="b">
        <v>0</v>
      </c>
      <c r="M3614" t="b">
        <v>0</v>
      </c>
      <c r="N3614" t="inlineStr">
        <is>
          <t>alt</t>
        </is>
      </c>
      <c r="O3614" t="n">
        <v>-85</v>
      </c>
      <c r="P3614" t="n">
        <v>0.004738</v>
      </c>
      <c r="Q3614" t="n">
        <v>60</v>
      </c>
      <c r="R3614" t="n">
        <v>0.0815</v>
      </c>
      <c r="S3614">
        <f>IMAGE("https://mitra.stanford.edu/kundaje/oak/projects/neuro-variants/variant_position/credible/roussos_2024/variant_figures/roussos_2024.childhood.GLU/rs794249_count_position.png",4,220,900)</f>
        <v/>
      </c>
      <c r="T3614">
        <f>IMAGE("https://mitra.stanford.edu/kundaje/oak/projects/neuro-variants/variant_position/credible/roussos_2024/variant_figures/roussos_2024.childhood.GLU/rs794249_profile_position.png",4,220,900)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0.01083506728</v>
      </c>
      <c r="G3615" t="n">
        <v>0.6214340626963166</v>
      </c>
      <c r="H3615" t="n">
        <v>0.0178731651874622</v>
      </c>
      <c r="I3615" t="n">
        <v>0.1441846461054611</v>
      </c>
      <c r="J3615" t="n">
        <v>0.0466554029690831</v>
      </c>
      <c r="K3615" t="n">
        <v>0.3795430580379764</v>
      </c>
      <c r="L3615" t="b">
        <v>0</v>
      </c>
      <c r="M3615" t="b">
        <v>0</v>
      </c>
      <c r="N3615" t="inlineStr">
        <is>
          <t>alt</t>
        </is>
      </c>
      <c r="O3615" t="n">
        <v>100</v>
      </c>
      <c r="P3615" t="n">
        <v>0.01599</v>
      </c>
      <c r="Q3615" t="n">
        <v>100</v>
      </c>
      <c r="R3615" t="n">
        <v>0.1028</v>
      </c>
      <c r="S3615">
        <f>IMAGE("https://mitra.stanford.edu/kundaje/oak/projects/neuro-variants/variant_position/credible/roussos_2024/variant_figures/roussos_2024.childhood.GLU/rs7451540_count_position.png",4,220,900)</f>
        <v/>
      </c>
      <c r="T3615">
        <f>IMAGE("https://mitra.stanford.edu/kundaje/oak/projects/neuro-variants/variant_position/credible/roussos_2024/variant_figures/roussos_2024.childhood.GLU/rs7451540_profile_position.png",4,220,900)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-0.0870903242</v>
      </c>
      <c r="G3616" t="n">
        <v>0.0613655992639853</v>
      </c>
      <c r="H3616" t="n">
        <v>0.0201613453453612</v>
      </c>
      <c r="I3616" t="n">
        <v>0.09375474969369781</v>
      </c>
      <c r="J3616" t="n">
        <v>0.1241688730464524</v>
      </c>
      <c r="K3616" t="n">
        <v>0.2132097300615542</v>
      </c>
      <c r="L3616" t="b">
        <v>0</v>
      </c>
      <c r="M3616" t="b">
        <v>0</v>
      </c>
      <c r="N3616" t="inlineStr">
        <is>
          <t>ref</t>
        </is>
      </c>
      <c r="O3616" t="n">
        <v>30</v>
      </c>
      <c r="P3616" t="n">
        <v>0.001001</v>
      </c>
      <c r="Q3616" t="n">
        <v>-95</v>
      </c>
      <c r="R3616" t="n">
        <v>0.2046</v>
      </c>
      <c r="S3616">
        <f>IMAGE("https://mitra.stanford.edu/kundaje/oak/projects/neuro-variants/variant_position/credible/roussos_2024/variant_figures/roussos_2024.childhood.GLU/rs9376742_count_position.png",4,220,900)</f>
        <v/>
      </c>
      <c r="T3616">
        <f>IMAGE("https://mitra.stanford.edu/kundaje/oak/projects/neuro-variants/variant_position/credible/roussos_2024/variant_figures/roussos_2024.childhood.GLU/rs9376742_profile_position.png",4,220,900)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0.0183229445999999</v>
      </c>
      <c r="G3617" t="n">
        <v>0.4754310652339991</v>
      </c>
      <c r="H3617" t="n">
        <v>0.0187373853102477</v>
      </c>
      <c r="I3617" t="n">
        <v>0.1293752769379562</v>
      </c>
      <c r="J3617" t="n">
        <v>0.2266496337581257</v>
      </c>
      <c r="K3617" t="n">
        <v>0.1325145716058112</v>
      </c>
      <c r="L3617" t="b">
        <v>0</v>
      </c>
      <c r="M3617" t="b">
        <v>0</v>
      </c>
      <c r="N3617" t="inlineStr">
        <is>
          <t>alt</t>
        </is>
      </c>
      <c r="O3617" t="n">
        <v>-90</v>
      </c>
      <c r="P3617" t="n">
        <v>0.01207</v>
      </c>
      <c r="Q3617" t="n">
        <v>-10</v>
      </c>
      <c r="R3617" t="n">
        <v>0.05566</v>
      </c>
      <c r="S3617">
        <f>IMAGE("https://mitra.stanford.edu/kundaje/oak/projects/neuro-variants/variant_position/credible/roussos_2024/variant_figures/roussos_2024.childhood.GLU/rs2303386_count_position.png",4,220,900)</f>
        <v/>
      </c>
      <c r="T3617">
        <f>IMAGE("https://mitra.stanford.edu/kundaje/oak/projects/neuro-variants/variant_position/credible/roussos_2024/variant_figures/roussos_2024.childhood.GLU/rs2303386_profile_position.png",4,220,900)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-0.0465246244</v>
      </c>
      <c r="G3618" t="n">
        <v>0.2006747232694363</v>
      </c>
      <c r="H3618" t="n">
        <v>0.0184053557489865</v>
      </c>
      <c r="I3618" t="n">
        <v>0.1337182707421872</v>
      </c>
      <c r="J3618" t="n">
        <v>7.623600193678555e-05</v>
      </c>
      <c r="K3618" t="n">
        <v>0.9533133029191346</v>
      </c>
      <c r="L3618" t="b">
        <v>0</v>
      </c>
      <c r="M3618" t="b">
        <v>0</v>
      </c>
      <c r="N3618" t="inlineStr">
        <is>
          <t>ref</t>
        </is>
      </c>
      <c r="O3618" t="n">
        <v>55</v>
      </c>
      <c r="P3618" t="n">
        <v>0.006386</v>
      </c>
      <c r="Q3618" t="n">
        <v>-15</v>
      </c>
      <c r="R3618" t="n">
        <v>0.00403</v>
      </c>
      <c r="S3618">
        <f>IMAGE("https://mitra.stanford.edu/kundaje/oak/projects/neuro-variants/variant_position/credible/roussos_2024/variant_figures/roussos_2024.childhood.GLU/rs9376824_count_position.png",4,220,900)</f>
        <v/>
      </c>
      <c r="T3618">
        <f>IMAGE("https://mitra.stanford.edu/kundaje/oak/projects/neuro-variants/variant_position/credible/roussos_2024/variant_figures/roussos_2024.childhood.GLU/rs9376824_profile_position.png",4,220,900)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0.0014840785399999</v>
      </c>
      <c r="G3619" t="n">
        <v>0.7574991856958138</v>
      </c>
      <c r="H3619" t="n">
        <v>0.0194418578161192</v>
      </c>
      <c r="I3619" t="n">
        <v>0.1063707191313863</v>
      </c>
      <c r="J3619" t="n">
        <v>0.0063111047008766</v>
      </c>
      <c r="K3619" t="n">
        <v>0.6438555694359427</v>
      </c>
      <c r="L3619" t="b">
        <v>0</v>
      </c>
      <c r="M3619" t="b">
        <v>0</v>
      </c>
      <c r="N3619" t="inlineStr">
        <is>
          <t>alt</t>
        </is>
      </c>
      <c r="O3619" t="n">
        <v>70</v>
      </c>
      <c r="P3619" t="n">
        <v>0.01788</v>
      </c>
      <c r="Q3619" t="n">
        <v>75</v>
      </c>
      <c r="R3619" t="n">
        <v>0.2744</v>
      </c>
      <c r="S3619">
        <f>IMAGE("https://mitra.stanford.edu/kundaje/oak/projects/neuro-variants/variant_position/credible/roussos_2024/variant_figures/roussos_2024.childhood.GLU/rs4896728_count_position.png",4,220,900)</f>
        <v/>
      </c>
      <c r="T3619">
        <f>IMAGE("https://mitra.stanford.edu/kundaje/oak/projects/neuro-variants/variant_position/credible/roussos_2024/variant_figures/roussos_2024.childhood.GLU/rs4896728_profile_position.png",4,220,900)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0.01670936262</v>
      </c>
      <c r="G3620" t="n">
        <v>0.5413332550554842</v>
      </c>
      <c r="H3620" t="n">
        <v>0.0152462804595617</v>
      </c>
      <c r="I3620" t="n">
        <v>0.2389713948862748</v>
      </c>
      <c r="J3620" t="n">
        <v>0.1925082674853451</v>
      </c>
      <c r="K3620" t="n">
        <v>0.1582281224836916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0.0338</v>
      </c>
      <c r="Q3620" t="n">
        <v>-35</v>
      </c>
      <c r="R3620" t="n">
        <v>0.04932</v>
      </c>
      <c r="S3620">
        <f>IMAGE("https://mitra.stanford.edu/kundaje/oak/projects/neuro-variants/variant_position/credible/roussos_2024/variant_figures/roussos_2024.childhood.GLU/rs9376826_count_position.png",4,220,900)</f>
        <v/>
      </c>
      <c r="T3620">
        <f>IMAGE("https://mitra.stanford.edu/kundaje/oak/projects/neuro-variants/variant_position/credible/roussos_2024/variant_figures/roussos_2024.childhood.GLU/rs9376826_profile_position.png",4,220,900)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0.0767595975999999</v>
      </c>
      <c r="G3621" t="n">
        <v>0.078172899331561</v>
      </c>
      <c r="H3621" t="n">
        <v>0.0263095679623374</v>
      </c>
      <c r="I3621" t="n">
        <v>0.0353111467163595</v>
      </c>
      <c r="J3621" t="n">
        <v>0.006010281558099</v>
      </c>
      <c r="K3621" t="n">
        <v>0.6567745739304327</v>
      </c>
      <c r="L3621" t="b">
        <v>0</v>
      </c>
      <c r="M3621" t="b">
        <v>0</v>
      </c>
      <c r="N3621" t="inlineStr">
        <is>
          <t>alt</t>
        </is>
      </c>
      <c r="O3621" t="n">
        <v>-20</v>
      </c>
      <c r="P3621" t="n">
        <v>0.003601</v>
      </c>
      <c r="Q3621" t="n">
        <v>65</v>
      </c>
      <c r="R3621" t="n">
        <v>0.04297</v>
      </c>
      <c r="S3621">
        <f>IMAGE("https://mitra.stanford.edu/kundaje/oak/projects/neuro-variants/variant_position/credible/roussos_2024/variant_figures/roussos_2024.childhood.GLU/rs9399485_count_position.png",4,220,900)</f>
        <v/>
      </c>
      <c r="T3621">
        <f>IMAGE("https://mitra.stanford.edu/kundaje/oak/projects/neuro-variants/variant_position/credible/roussos_2024/variant_figures/roussos_2024.childhood.GLU/rs9399485_profile_position.png",4,220,900)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-0.009193972280000001</v>
      </c>
      <c r="G3622" t="n">
        <v>0.6927082479332118</v>
      </c>
      <c r="H3622" t="n">
        <v>0.0312440140621763</v>
      </c>
      <c r="I3622" t="n">
        <v>0.0178481525402359</v>
      </c>
      <c r="J3622" t="n">
        <v>0.0003842706584111</v>
      </c>
      <c r="K3622" t="n">
        <v>0.8893278567517618</v>
      </c>
      <c r="L3622" t="b">
        <v>0</v>
      </c>
      <c r="M3622" t="b">
        <v>0</v>
      </c>
      <c r="N3622" t="inlineStr">
        <is>
          <t>ref</t>
        </is>
      </c>
      <c r="O3622" t="n">
        <v>5</v>
      </c>
      <c r="P3622" t="n">
        <v>0.0004368</v>
      </c>
      <c r="Q3622" t="n">
        <v>-45</v>
      </c>
      <c r="R3622" t="n">
        <v>0.0252</v>
      </c>
      <c r="S3622">
        <f>IMAGE("https://mitra.stanford.edu/kundaje/oak/projects/neuro-variants/variant_position/credible/roussos_2024/variant_figures/roussos_2024.childhood.GLU/rs9403593_count_position.png",4,220,900)</f>
        <v/>
      </c>
      <c r="T3622">
        <f>IMAGE("https://mitra.stanford.edu/kundaje/oak/projects/neuro-variants/variant_position/credible/roussos_2024/variant_figures/roussos_2024.childhood.GLU/rs9403593_profile_position.png",4,220,900)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0.2139543559999999</v>
      </c>
      <c r="G3623" t="n">
        <v>0.0063997944866551</v>
      </c>
      <c r="H3623" t="n">
        <v>0.0357076691188869</v>
      </c>
      <c r="I3623" t="n">
        <v>0.0118698979408586</v>
      </c>
      <c r="J3623" t="n">
        <v>0.0027558284483912</v>
      </c>
      <c r="K3623" t="n">
        <v>0.7345835976344233</v>
      </c>
      <c r="L3623" t="b">
        <v>1</v>
      </c>
      <c r="M3623" t="b">
        <v>1</v>
      </c>
      <c r="N3623" t="inlineStr">
        <is>
          <t>alt</t>
        </is>
      </c>
      <c r="O3623" t="n">
        <v>100</v>
      </c>
      <c r="P3623" t="n">
        <v>0.0009174</v>
      </c>
      <c r="Q3623" t="n">
        <v>100</v>
      </c>
      <c r="R3623" t="n">
        <v>0.1247</v>
      </c>
      <c r="S3623">
        <f>IMAGE("https://mitra.stanford.edu/kundaje/oak/projects/neuro-variants/variant_position/credible/roussos_2024/variant_figures/roussos_2024.childhood.GLU/rs4131500_count_position.png",4,220,900)</f>
        <v/>
      </c>
      <c r="T3623">
        <f>IMAGE("https://mitra.stanford.edu/kundaje/oak/projects/neuro-variants/variant_position/credible/roussos_2024/variant_figures/roussos_2024.childhood.GLU/rs4131500_profile_position.png",4,220,900)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0.0523745111999999</v>
      </c>
      <c r="G3624" t="n">
        <v>0.1577937885717795</v>
      </c>
      <c r="H3624" t="n">
        <v>0.0147935259737041</v>
      </c>
      <c r="I3624" t="n">
        <v>0.2612958188802216</v>
      </c>
      <c r="J3624" t="n">
        <v>0.0144693871243573</v>
      </c>
      <c r="K3624" t="n">
        <v>0.5344906468459675</v>
      </c>
      <c r="L3624" t="b">
        <v>0</v>
      </c>
      <c r="M3624" t="b">
        <v>0</v>
      </c>
      <c r="N3624" t="inlineStr">
        <is>
          <t>alt</t>
        </is>
      </c>
      <c r="O3624" t="n">
        <v>-60</v>
      </c>
      <c r="P3624" t="n">
        <v>0.0143</v>
      </c>
      <c r="Q3624" t="n">
        <v>-60</v>
      </c>
      <c r="R3624" t="n">
        <v>0.2014</v>
      </c>
      <c r="S3624">
        <f>IMAGE("https://mitra.stanford.edu/kundaje/oak/projects/neuro-variants/variant_position/credible/roussos_2024/variant_figures/roussos_2024.childhood.GLU/rs6927442_count_position.png",4,220,900)</f>
        <v/>
      </c>
      <c r="T3624">
        <f>IMAGE("https://mitra.stanford.edu/kundaje/oak/projects/neuro-variants/variant_position/credible/roussos_2024/variant_figures/roussos_2024.childhood.GLU/rs6927442_profile_position.png",4,220,900)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0.197519918</v>
      </c>
      <c r="G3625" t="n">
        <v>0.0077715024336388</v>
      </c>
      <c r="H3625" t="n">
        <v>0.0304110988280109</v>
      </c>
      <c r="I3625" t="n">
        <v>0.0207617531397829</v>
      </c>
      <c r="J3625" t="n">
        <v>0.0022376296784694</v>
      </c>
      <c r="K3625" t="n">
        <v>0.7590596451670633</v>
      </c>
      <c r="L3625" t="b">
        <v>1</v>
      </c>
      <c r="M3625" t="b">
        <v>1</v>
      </c>
      <c r="N3625" t="inlineStr">
        <is>
          <t>alt</t>
        </is>
      </c>
      <c r="O3625" t="n">
        <v>-85</v>
      </c>
      <c r="P3625" t="n">
        <v>0.00344</v>
      </c>
      <c r="Q3625" t="n">
        <v>-80</v>
      </c>
      <c r="R3625" t="n">
        <v>0.0751</v>
      </c>
      <c r="S3625">
        <f>IMAGE("https://mitra.stanford.edu/kundaje/oak/projects/neuro-variants/variant_position/credible/roussos_2024/variant_figures/roussos_2024.childhood.GLU/rs9376859_count_position.png",4,220,900)</f>
        <v/>
      </c>
      <c r="T3625">
        <f>IMAGE("https://mitra.stanford.edu/kundaje/oak/projects/neuro-variants/variant_position/credible/roussos_2024/variant_figures/roussos_2024.childhood.GLU/rs9376859_profile_position.png",4,220,900)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-0.01175956204</v>
      </c>
      <c r="G3626" t="n">
        <v>0.60576366087008</v>
      </c>
      <c r="H3626" t="n">
        <v>0.0090690495669023</v>
      </c>
      <c r="I3626" t="n">
        <v>0.7715279823059392</v>
      </c>
      <c r="J3626" t="n">
        <v>0.0372443775948571</v>
      </c>
      <c r="K3626" t="n">
        <v>0.4133459356668109</v>
      </c>
      <c r="L3626" t="b">
        <v>0</v>
      </c>
      <c r="M3626" t="b">
        <v>0</v>
      </c>
      <c r="N3626" t="inlineStr">
        <is>
          <t>ref</t>
        </is>
      </c>
      <c r="O3626" t="n">
        <v>-100</v>
      </c>
      <c r="P3626" t="n">
        <v>0.01988</v>
      </c>
      <c r="Q3626" t="n">
        <v>-100</v>
      </c>
      <c r="R3626" t="n">
        <v>0.06116</v>
      </c>
      <c r="S3626">
        <f>IMAGE("https://mitra.stanford.edu/kundaje/oak/projects/neuro-variants/variant_position/credible/roussos_2024/variant_figures/roussos_2024.childhood.GLU/rs2268665_count_position.png",4,220,900)</f>
        <v/>
      </c>
      <c r="T3626">
        <f>IMAGE("https://mitra.stanford.edu/kundaje/oak/projects/neuro-variants/variant_position/credible/roussos_2024/variant_figures/roussos_2024.childhood.GLU/rs2268665_profile_position.png",4,220,900)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0.010919711772</v>
      </c>
      <c r="G3627" t="n">
        <v>0.632388128471825</v>
      </c>
      <c r="H3627" t="n">
        <v>0.0125236497768657</v>
      </c>
      <c r="I3627" t="n">
        <v>0.4091785688122446</v>
      </c>
      <c r="J3627" t="n">
        <v>0.2964169079089701</v>
      </c>
      <c r="K3627" t="n">
        <v>0.09779735338288981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0.02383</v>
      </c>
      <c r="Q3627" t="n">
        <v>90</v>
      </c>
      <c r="R3627" t="n">
        <v>0.10895</v>
      </c>
      <c r="S3627">
        <f>IMAGE("https://mitra.stanford.edu/kundaje/oak/projects/neuro-variants/variant_position/credible/roussos_2024/variant_figures/roussos_2024.childhood.GLU/rs4896868_count_position.png",4,220,900)</f>
        <v/>
      </c>
      <c r="T3627">
        <f>IMAGE("https://mitra.stanford.edu/kundaje/oak/projects/neuro-variants/variant_position/credible/roussos_2024/variant_figures/roussos_2024.childhood.GLU/rs4896868_profile_position.png",4,220,900)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-0.00628772782</v>
      </c>
      <c r="G3628" t="n">
        <v>0.7330775987788613</v>
      </c>
      <c r="H3628" t="n">
        <v>0.0056025237825057</v>
      </c>
      <c r="I3628" t="n">
        <v>0.9953711975099444</v>
      </c>
      <c r="J3628" t="n">
        <v>0.009033966229511499</v>
      </c>
      <c r="K3628" t="n">
        <v>0.5993818946403623</v>
      </c>
      <c r="L3628" t="b">
        <v>0</v>
      </c>
      <c r="M3628" t="b">
        <v>0</v>
      </c>
      <c r="N3628" t="inlineStr">
        <is>
          <t>ref</t>
        </is>
      </c>
      <c r="O3628" t="n">
        <v>100</v>
      </c>
      <c r="P3628" t="n">
        <v>0.00602</v>
      </c>
      <c r="Q3628" t="n">
        <v>50</v>
      </c>
      <c r="R3628" t="n">
        <v>0.1033</v>
      </c>
      <c r="S3628">
        <f>IMAGE("https://mitra.stanford.edu/kundaje/oak/projects/neuro-variants/variant_position/credible/roussos_2024/variant_figures/roussos_2024.childhood.GLU/rs2206959_count_position.png",4,220,900)</f>
        <v/>
      </c>
      <c r="T3628">
        <f>IMAGE("https://mitra.stanford.edu/kundaje/oak/projects/neuro-variants/variant_position/credible/roussos_2024/variant_figures/roussos_2024.childhood.GLU/rs2206959_profile_position.png",4,220,900)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0.0182880186</v>
      </c>
      <c r="G3629" t="n">
        <v>0.4759570716926147</v>
      </c>
      <c r="H3629" t="n">
        <v>0.0222833713581545</v>
      </c>
      <c r="I3629" t="n">
        <v>0.0676424610104529</v>
      </c>
      <c r="J3629" t="n">
        <v>0.07700248282114409</v>
      </c>
      <c r="K3629" t="n">
        <v>0.2843975397110864</v>
      </c>
      <c r="L3629" t="b">
        <v>0</v>
      </c>
      <c r="M3629" t="b">
        <v>0</v>
      </c>
      <c r="N3629" t="inlineStr">
        <is>
          <t>alt</t>
        </is>
      </c>
      <c r="O3629" t="n">
        <v>-100</v>
      </c>
      <c r="P3629" t="n">
        <v>0.08939999999999999</v>
      </c>
      <c r="Q3629" t="n">
        <v>50</v>
      </c>
      <c r="R3629" t="n">
        <v>0.08069999999999999</v>
      </c>
      <c r="S3629">
        <f>IMAGE("https://mitra.stanford.edu/kundaje/oak/projects/neuro-variants/variant_position/credible/roussos_2024/variant_figures/roussos_2024.childhood.GLU/rs9372017_count_position.png",4,220,900)</f>
        <v/>
      </c>
      <c r="T3629">
        <f>IMAGE("https://mitra.stanford.edu/kundaje/oak/projects/neuro-variants/variant_position/credible/roussos_2024/variant_figures/roussos_2024.childhood.GLU/rs9372017_profile_position.png",4,220,900)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0.0639494444</v>
      </c>
      <c r="G3630" t="n">
        <v>0.1296664015254043</v>
      </c>
      <c r="H3630" t="n">
        <v>0.0165346226085953</v>
      </c>
      <c r="I3630" t="n">
        <v>0.2014843358226521</v>
      </c>
      <c r="J3630" t="n">
        <v>0.0023447721676779</v>
      </c>
      <c r="K3630" t="n">
        <v>0.7660151430341604</v>
      </c>
      <c r="L3630" t="b">
        <v>0</v>
      </c>
      <c r="M3630" t="b">
        <v>0</v>
      </c>
      <c r="N3630" t="inlineStr">
        <is>
          <t>alt</t>
        </is>
      </c>
      <c r="O3630" t="n">
        <v>-100</v>
      </c>
      <c r="P3630" t="n">
        <v>0.003265</v>
      </c>
      <c r="Q3630" t="n">
        <v>-75</v>
      </c>
      <c r="R3630" t="n">
        <v>0.06714000000000001</v>
      </c>
      <c r="S3630">
        <f>IMAGE("https://mitra.stanford.edu/kundaje/oak/projects/neuro-variants/variant_position/credible/roussos_2024/variant_figures/roussos_2024.childhood.GLU/rs287943_count_position.png",4,220,900)</f>
        <v/>
      </c>
      <c r="T3630">
        <f>IMAGE("https://mitra.stanford.edu/kundaje/oak/projects/neuro-variants/variant_position/credible/roussos_2024/variant_figures/roussos_2024.childhood.GLU/rs287943_profile_position.png",4,220,900)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-0.01211057006</v>
      </c>
      <c r="G3631" t="n">
        <v>0.5011409777310341</v>
      </c>
      <c r="H3631" t="n">
        <v>0.0108408315873786</v>
      </c>
      <c r="I3631" t="n">
        <v>0.5693463933926961</v>
      </c>
      <c r="J3631" t="n">
        <v>0.0035078863053354</v>
      </c>
      <c r="K3631" t="n">
        <v>0.7196481386459962</v>
      </c>
      <c r="L3631" t="b">
        <v>0</v>
      </c>
      <c r="M3631" t="b">
        <v>0</v>
      </c>
      <c r="N3631" t="inlineStr">
        <is>
          <t>ref</t>
        </is>
      </c>
      <c r="O3631" t="n">
        <v>-80</v>
      </c>
      <c r="P3631" t="n">
        <v>0.010796</v>
      </c>
      <c r="Q3631" t="n">
        <v>25</v>
      </c>
      <c r="R3631" t="n">
        <v>0.04443</v>
      </c>
      <c r="S3631">
        <f>IMAGE("https://mitra.stanford.edu/kundaje/oak/projects/neuro-variants/variant_position/credible/roussos_2024/variant_figures/roussos_2024.childhood.GLU/rs6928411_count_position.png",4,220,900)</f>
        <v/>
      </c>
      <c r="T3631">
        <f>IMAGE("https://mitra.stanford.edu/kundaje/oak/projects/neuro-variants/variant_position/credible/roussos_2024/variant_figures/roussos_2024.childhood.GLU/rs6928411_profile_position.png",4,220,900)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-0.003294921</v>
      </c>
      <c r="G3632" t="n">
        <v>0.441930925452843</v>
      </c>
      <c r="H3632" t="n">
        <v>0.0110595405597495</v>
      </c>
      <c r="I3632" t="n">
        <v>0.5285521726994676</v>
      </c>
      <c r="J3632" t="n">
        <v>0.1837988193721862</v>
      </c>
      <c r="K3632" t="n">
        <v>0.1597203733155215</v>
      </c>
      <c r="L3632" t="b">
        <v>0</v>
      </c>
      <c r="M3632" t="b">
        <v>0</v>
      </c>
      <c r="N3632" t="inlineStr">
        <is>
          <t>ref</t>
        </is>
      </c>
      <c r="O3632" t="n">
        <v>95</v>
      </c>
      <c r="P3632" t="n">
        <v>0.014465</v>
      </c>
      <c r="Q3632" t="n">
        <v>95</v>
      </c>
      <c r="R3632" t="n">
        <v>0.25</v>
      </c>
      <c r="S3632">
        <f>IMAGE("https://mitra.stanford.edu/kundaje/oak/projects/neuro-variants/variant_position/credible/roussos_2024/variant_figures/roussos_2024.childhood.GLU/rs1407509_count_position.png",4,220,900)</f>
        <v/>
      </c>
      <c r="T3632">
        <f>IMAGE("https://mitra.stanford.edu/kundaje/oak/projects/neuro-variants/variant_position/credible/roussos_2024/variant_figures/roussos_2024.childhood.GLU/rs1407509_profile_position.png",4,220,900)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-0.0765930544</v>
      </c>
      <c r="G3633" t="n">
        <v>0.08177774960570219</v>
      </c>
      <c r="H3633" t="n">
        <v>0.0128539678422382</v>
      </c>
      <c r="I3633" t="n">
        <v>0.384160780838992</v>
      </c>
      <c r="J3633" t="n">
        <v>0.1508741384816672</v>
      </c>
      <c r="K3633" t="n">
        <v>0.1893938077835815</v>
      </c>
      <c r="L3633" t="b">
        <v>0</v>
      </c>
      <c r="M3633" t="b">
        <v>0</v>
      </c>
      <c r="N3633" t="inlineStr">
        <is>
          <t>ref</t>
        </is>
      </c>
      <c r="O3633" t="n">
        <v>-100</v>
      </c>
      <c r="P3633" t="n">
        <v>0.002823</v>
      </c>
      <c r="Q3633" t="n">
        <v>-100</v>
      </c>
      <c r="R3633" t="n">
        <v>0.1448</v>
      </c>
      <c r="S3633">
        <f>IMAGE("https://mitra.stanford.edu/kundaje/oak/projects/neuro-variants/variant_position/credible/roussos_2024/variant_figures/roussos_2024.childhood.GLU/rs147044092_count_position.png",4,220,900)</f>
        <v/>
      </c>
      <c r="T3633">
        <f>IMAGE("https://mitra.stanford.edu/kundaje/oak/projects/neuro-variants/variant_position/credible/roussos_2024/variant_figures/roussos_2024.childhood.GLU/rs147044092_profile_position.png",4,220,900)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0.075486436</v>
      </c>
      <c r="G3634" t="n">
        <v>0.08801816828520991</v>
      </c>
      <c r="H3634" t="n">
        <v>0.0175005240161032</v>
      </c>
      <c r="I3634" t="n">
        <v>0.152382794876146</v>
      </c>
      <c r="J3634" t="n">
        <v>0.0550650581557068</v>
      </c>
      <c r="K3634" t="n">
        <v>0.338146236312475</v>
      </c>
      <c r="L3634" t="b">
        <v>0</v>
      </c>
      <c r="M3634" t="b">
        <v>0</v>
      </c>
      <c r="N3634" t="inlineStr">
        <is>
          <t>alt</t>
        </is>
      </c>
      <c r="O3634" t="n">
        <v>-70</v>
      </c>
      <c r="P3634" t="n">
        <v>0.02641</v>
      </c>
      <c r="Q3634" t="n">
        <v>-20</v>
      </c>
      <c r="R3634" t="n">
        <v>0.0464</v>
      </c>
      <c r="S3634">
        <f>IMAGE("https://mitra.stanford.edu/kundaje/oak/projects/neuro-variants/variant_position/credible/roussos_2024/variant_figures/roussos_2024.childhood.GLU/rs59034682_count_position.png",4,220,900)</f>
        <v/>
      </c>
      <c r="T3634">
        <f>IMAGE("https://mitra.stanford.edu/kundaje/oak/projects/neuro-variants/variant_position/credible/roussos_2024/variant_figures/roussos_2024.childhood.GLU/rs59034682_profile_position.png",4,220,900)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-0.1090558859999999</v>
      </c>
      <c r="G3635" t="n">
        <v>0.0370338473539239</v>
      </c>
      <c r="H3635" t="n">
        <v>0.0244571651927996</v>
      </c>
      <c r="I3635" t="n">
        <v>0.0486316891908664</v>
      </c>
      <c r="J3635" t="n">
        <v>0.0648541728908897</v>
      </c>
      <c r="K3635" t="n">
        <v>0.3170605397049699</v>
      </c>
      <c r="L3635" t="b">
        <v>0</v>
      </c>
      <c r="M3635" t="b">
        <v>0</v>
      </c>
      <c r="N3635" t="inlineStr">
        <is>
          <t>ref</t>
        </is>
      </c>
      <c r="O3635" t="n">
        <v>100</v>
      </c>
      <c r="P3635" t="n">
        <v>0.01811</v>
      </c>
      <c r="Q3635" t="n">
        <v>-75</v>
      </c>
      <c r="R3635" t="n">
        <v>0.1107</v>
      </c>
      <c r="S3635">
        <f>IMAGE("https://mitra.stanford.edu/kundaje/oak/projects/neuro-variants/variant_position/credible/roussos_2024/variant_figures/roussos_2024.childhood.GLU/rs113650580_count_position.png",4,220,900)</f>
        <v/>
      </c>
      <c r="T3635">
        <f>IMAGE("https://mitra.stanford.edu/kundaje/oak/projects/neuro-variants/variant_position/credible/roussos_2024/variant_figures/roussos_2024.childhood.GLU/rs113650580_profile_position.png",4,220,900)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0.0510723931999999</v>
      </c>
      <c r="G3636" t="n">
        <v>0.1649036692883427</v>
      </c>
      <c r="H3636" t="n">
        <v>0.0128229948425332</v>
      </c>
      <c r="I3636" t="n">
        <v>0.3768663335131618</v>
      </c>
      <c r="J3636" t="n">
        <v>0.0026455953104556</v>
      </c>
      <c r="K3636" t="n">
        <v>0.7385064011833166</v>
      </c>
      <c r="L3636" t="b">
        <v>0</v>
      </c>
      <c r="M3636" t="b">
        <v>0</v>
      </c>
      <c r="N3636" t="inlineStr">
        <is>
          <t>alt</t>
        </is>
      </c>
      <c r="O3636" t="n">
        <v>90</v>
      </c>
      <c r="P3636" t="n">
        <v>0.006313</v>
      </c>
      <c r="Q3636" t="n">
        <v>90</v>
      </c>
      <c r="R3636" t="n">
        <v>0.1098</v>
      </c>
      <c r="S3636">
        <f>IMAGE("https://mitra.stanford.edu/kundaje/oak/projects/neuro-variants/variant_position/credible/roussos_2024/variant_figures/roussos_2024.childhood.GLU/rs79222572_count_position.png",4,220,900)</f>
        <v/>
      </c>
      <c r="T3636">
        <f>IMAGE("https://mitra.stanford.edu/kundaje/oak/projects/neuro-variants/variant_position/credible/roussos_2024/variant_figures/roussos_2024.childhood.GLU/rs79222572_profile_position.png",4,220,900)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0.0175036742</v>
      </c>
      <c r="G3637" t="n">
        <v>0.4426086205627053</v>
      </c>
      <c r="H3637" t="n">
        <v>0.0198994250441623</v>
      </c>
      <c r="I3637" t="n">
        <v>0.1010062126114695</v>
      </c>
      <c r="J3637" t="n">
        <v>0.028857387165566</v>
      </c>
      <c r="K3637" t="n">
        <v>0.4500385507076593</v>
      </c>
      <c r="L3637" t="b">
        <v>0</v>
      </c>
      <c r="M3637" t="b">
        <v>0</v>
      </c>
      <c r="N3637" t="inlineStr">
        <is>
          <t>alt</t>
        </is>
      </c>
      <c r="O3637" t="n">
        <v>30</v>
      </c>
      <c r="P3637" t="n">
        <v>0.002686</v>
      </c>
      <c r="Q3637" t="n">
        <v>-85</v>
      </c>
      <c r="R3637" t="n">
        <v>0.0808</v>
      </c>
      <c r="S3637">
        <f>IMAGE("https://mitra.stanford.edu/kundaje/oak/projects/neuro-variants/variant_position/credible/roussos_2024/variant_figures/roussos_2024.childhood.GLU/rs55855028_count_position.png",4,220,900)</f>
        <v/>
      </c>
      <c r="T3637">
        <f>IMAGE("https://mitra.stanford.edu/kundaje/oak/projects/neuro-variants/variant_position/credible/roussos_2024/variant_figures/roussos_2024.childhood.GLU/rs55855028_profile_position.png",4,220,900)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0.0316690909999999</v>
      </c>
      <c r="G3638" t="n">
        <v>0.3357439230145119</v>
      </c>
      <c r="H3638" t="n">
        <v>0.0100379394273783</v>
      </c>
      <c r="I3638" t="n">
        <v>0.6315197566510575</v>
      </c>
      <c r="J3638" t="n">
        <v>0.0005254102836184</v>
      </c>
      <c r="K3638" t="n">
        <v>0.8736860862560981</v>
      </c>
      <c r="L3638" t="b">
        <v>0</v>
      </c>
      <c r="M3638" t="b">
        <v>0</v>
      </c>
      <c r="N3638" t="inlineStr">
        <is>
          <t>alt</t>
        </is>
      </c>
      <c r="O3638" t="n">
        <v>100</v>
      </c>
      <c r="P3638" t="n">
        <v>0.02655</v>
      </c>
      <c r="Q3638" t="n">
        <v>80</v>
      </c>
      <c r="R3638" t="n">
        <v>0.047</v>
      </c>
      <c r="S3638">
        <f>IMAGE("https://mitra.stanford.edu/kundaje/oak/projects/neuro-variants/variant_position/credible/roussos_2024/variant_figures/roussos_2024.childhood.GLU/rs75952763_count_position.png",4,220,900)</f>
        <v/>
      </c>
      <c r="T3638">
        <f>IMAGE("https://mitra.stanford.edu/kundaje/oak/projects/neuro-variants/variant_position/credible/roussos_2024/variant_figures/roussos_2024.childhood.GLU/rs75952763_profile_position.png",4,220,900)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-0.0054875607799999</v>
      </c>
      <c r="G3639" t="n">
        <v>0.7920289381870744</v>
      </c>
      <c r="H3639" t="n">
        <v>0.0240278306346266</v>
      </c>
      <c r="I3639" t="n">
        <v>0.0505933623705918</v>
      </c>
      <c r="J3639" t="n">
        <v>0.0014732092266166</v>
      </c>
      <c r="K3639" t="n">
        <v>0.8633297791488196</v>
      </c>
      <c r="L3639" t="b">
        <v>0</v>
      </c>
      <c r="M3639" t="b">
        <v>0</v>
      </c>
      <c r="N3639" t="inlineStr">
        <is>
          <t>ref</t>
        </is>
      </c>
      <c r="O3639" t="n">
        <v>-75</v>
      </c>
      <c r="P3639" t="n">
        <v>0.002136</v>
      </c>
      <c r="Q3639" t="n">
        <v>-100</v>
      </c>
      <c r="R3639" t="n">
        <v>0.04736</v>
      </c>
      <c r="S3639">
        <f>IMAGE("https://mitra.stanford.edu/kundaje/oak/projects/neuro-variants/variant_position/credible/roussos_2024/variant_figures/roussos_2024.childhood.GLU/rs9347029_count_position.png",4,220,900)</f>
        <v/>
      </c>
      <c r="T3639">
        <f>IMAGE("https://mitra.stanford.edu/kundaje/oak/projects/neuro-variants/variant_position/credible/roussos_2024/variant_figures/roussos_2024.childhood.GLU/rs9347029_profile_position.png",4,220,900)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-0.118445278</v>
      </c>
      <c r="G3640" t="n">
        <v>0.0305681523107947</v>
      </c>
      <c r="H3640" t="n">
        <v>0.0142762708718934</v>
      </c>
      <c r="I3640" t="n">
        <v>0.2976709854424185</v>
      </c>
      <c r="J3640" t="n">
        <v>0.0471231211431278</v>
      </c>
      <c r="K3640" t="n">
        <v>0.3773771831692361</v>
      </c>
      <c r="L3640" t="b">
        <v>0</v>
      </c>
      <c r="M3640" t="b">
        <v>0</v>
      </c>
      <c r="N3640" t="inlineStr">
        <is>
          <t>ref</t>
        </is>
      </c>
      <c r="O3640" t="n">
        <v>85</v>
      </c>
      <c r="P3640" t="n">
        <v>0.04898</v>
      </c>
      <c r="Q3640" t="n">
        <v>-15</v>
      </c>
      <c r="R3640" t="n">
        <v>0.012695</v>
      </c>
      <c r="S3640">
        <f>IMAGE("https://mitra.stanford.edu/kundaje/oak/projects/neuro-variants/variant_position/credible/roussos_2024/variant_figures/roussos_2024.childhood.GLU/rs1912669_count_position.png",4,220,900)</f>
        <v/>
      </c>
      <c r="T3640">
        <f>IMAGE("https://mitra.stanford.edu/kundaje/oak/projects/neuro-variants/variant_position/credible/roussos_2024/variant_figures/roussos_2024.childhood.GLU/rs1912669_profile_position.png",4,220,900)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-0.0364951998</v>
      </c>
      <c r="G3641" t="n">
        <v>0.2739865240771943</v>
      </c>
      <c r="H3641" t="n">
        <v>0.0108301636056589</v>
      </c>
      <c r="I3641" t="n">
        <v>0.5486245097153403</v>
      </c>
      <c r="J3641" t="n">
        <v>0.5619747184934117</v>
      </c>
      <c r="K3641" t="n">
        <v>0.0322697448724436</v>
      </c>
      <c r="L3641" t="b">
        <v>0</v>
      </c>
      <c r="M3641" t="b">
        <v>0</v>
      </c>
      <c r="N3641" t="inlineStr">
        <is>
          <t>ref</t>
        </is>
      </c>
      <c r="O3641" t="n">
        <v>65</v>
      </c>
      <c r="P3641" t="n">
        <v>0.01209</v>
      </c>
      <c r="Q3641" t="n">
        <v>15</v>
      </c>
      <c r="R3641" t="n">
        <v>0.0852</v>
      </c>
      <c r="S3641">
        <f>IMAGE("https://mitra.stanford.edu/kundaje/oak/projects/neuro-variants/variant_position/credible/roussos_2024/variant_figures/roussos_2024.childhood.GLU/rs978164_count_position.png",4,220,900)</f>
        <v/>
      </c>
      <c r="T3641">
        <f>IMAGE("https://mitra.stanford.edu/kundaje/oak/projects/neuro-variants/variant_position/credible/roussos_2024/variant_figures/roussos_2024.childhood.GLU/rs978164_profile_position.png",4,220,900)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-0.0783718724</v>
      </c>
      <c r="G3642" t="n">
        <v>0.1066762820346709</v>
      </c>
      <c r="H3642" t="n">
        <v>0.0149523072197903</v>
      </c>
      <c r="I3642" t="n">
        <v>0.2532556192931527</v>
      </c>
      <c r="J3642" t="n">
        <v>0.0166184182059814</v>
      </c>
      <c r="K3642" t="n">
        <v>0.5278742161059162</v>
      </c>
      <c r="L3642" t="b">
        <v>0</v>
      </c>
      <c r="M3642" t="b">
        <v>0</v>
      </c>
      <c r="N3642" t="inlineStr">
        <is>
          <t>ref</t>
        </is>
      </c>
      <c r="O3642" t="n">
        <v>90</v>
      </c>
      <c r="P3642" t="n">
        <v>0.008359999999999999</v>
      </c>
      <c r="Q3642" t="n">
        <v>-95</v>
      </c>
      <c r="R3642" t="n">
        <v>0.01758</v>
      </c>
      <c r="S3642">
        <f>IMAGE("https://mitra.stanford.edu/kundaje/oak/projects/neuro-variants/variant_position/credible/roussos_2024/variant_figures/roussos_2024.childhood.GLU/rs1467085_count_position.png",4,220,900)</f>
        <v/>
      </c>
      <c r="T3642">
        <f>IMAGE("https://mitra.stanford.edu/kundaje/oak/projects/neuro-variants/variant_position/credible/roussos_2024/variant_figures/roussos_2024.childhood.GLU/rs1467085_profile_position.png",4,220,900)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-0.0840703686</v>
      </c>
      <c r="G3643" t="n">
        <v>0.08585138054282131</v>
      </c>
      <c r="H3643" t="n">
        <v>0.0382189967063074</v>
      </c>
      <c r="I3643" t="n">
        <v>0.008104259283943999</v>
      </c>
      <c r="J3643" t="n">
        <v>0.0294559428023941</v>
      </c>
      <c r="K3643" t="n">
        <v>0.4299749183089143</v>
      </c>
      <c r="L3643" t="b">
        <v>1</v>
      </c>
      <c r="M3643" t="b">
        <v>0</v>
      </c>
      <c r="N3643" t="inlineStr">
        <is>
          <t>ref</t>
        </is>
      </c>
      <c r="O3643" t="n">
        <v>40</v>
      </c>
      <c r="P3643" t="n">
        <v>0.010345</v>
      </c>
      <c r="Q3643" t="n">
        <v>-75</v>
      </c>
      <c r="R3643" t="n">
        <v>0.08777</v>
      </c>
      <c r="S3643">
        <f>IMAGE("https://mitra.stanford.edu/kundaje/oak/projects/neuro-variants/variant_position/credible/roussos_2024/variant_figures/roussos_2024.childhood.GLU/rs1995942_count_position.png",4,220,900)</f>
        <v/>
      </c>
      <c r="T3643">
        <f>IMAGE("https://mitra.stanford.edu/kundaje/oak/projects/neuro-variants/variant_position/credible/roussos_2024/variant_figures/roussos_2024.childhood.GLU/rs1995942_profile_position.png",4,220,900)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-0.0316595132</v>
      </c>
      <c r="G3644" t="n">
        <v>0.3318193483318489</v>
      </c>
      <c r="H3644" t="n">
        <v>0.0125281378743159</v>
      </c>
      <c r="I3644" t="n">
        <v>0.4094178119747903</v>
      </c>
      <c r="J3644" t="n">
        <v>0.2323281856861755</v>
      </c>
      <c r="K3644" t="n">
        <v>0.1299235632138304</v>
      </c>
      <c r="L3644" t="b">
        <v>0</v>
      </c>
      <c r="M3644" t="b">
        <v>0</v>
      </c>
      <c r="N3644" t="inlineStr">
        <is>
          <t>ref</t>
        </is>
      </c>
      <c r="O3644" t="n">
        <v>-60</v>
      </c>
      <c r="P3644" t="n">
        <v>0.001717</v>
      </c>
      <c r="Q3644" t="n">
        <v>-40</v>
      </c>
      <c r="R3644" t="n">
        <v>0.02478</v>
      </c>
      <c r="S3644">
        <f>IMAGE("https://mitra.stanford.edu/kundaje/oak/projects/neuro-variants/variant_position/credible/roussos_2024/variant_figures/roussos_2024.childhood.GLU/rs2092778_count_position.png",4,220,900)</f>
        <v/>
      </c>
      <c r="T3644">
        <f>IMAGE("https://mitra.stanford.edu/kundaje/oak/projects/neuro-variants/variant_position/credible/roussos_2024/variant_figures/roussos_2024.childhood.GLU/rs2092778_profile_position.png",4,220,900)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-0.0246115909</v>
      </c>
      <c r="G3645" t="n">
        <v>0.422246492152134</v>
      </c>
      <c r="H3645" t="n">
        <v>0.0122238859849295</v>
      </c>
      <c r="I3645" t="n">
        <v>0.4311677951619471</v>
      </c>
      <c r="J3645" t="n">
        <v>0.4391605798057011</v>
      </c>
      <c r="K3645" t="n">
        <v>0.0550486597320059</v>
      </c>
      <c r="L3645" t="b">
        <v>0</v>
      </c>
      <c r="M3645" t="b">
        <v>0</v>
      </c>
      <c r="N3645" t="inlineStr">
        <is>
          <t>ref</t>
        </is>
      </c>
      <c r="O3645" t="n">
        <v>5</v>
      </c>
      <c r="P3645" t="n">
        <v>0.0002747</v>
      </c>
      <c r="Q3645" t="n">
        <v>85</v>
      </c>
      <c r="R3645" t="n">
        <v>0.02539</v>
      </c>
      <c r="S3645">
        <f>IMAGE("https://mitra.stanford.edu/kundaje/oak/projects/neuro-variants/variant_position/credible/roussos_2024/variant_figures/roussos_2024.childhood.GLU/rs6914386_count_position.png",4,220,900)</f>
        <v/>
      </c>
      <c r="T3645">
        <f>IMAGE("https://mitra.stanford.edu/kundaje/oak/projects/neuro-variants/variant_position/credible/roussos_2024/variant_figures/roussos_2024.childhood.GLU/rs6914386_profile_position.png",4,220,900)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-0.07689116999999999</v>
      </c>
      <c r="G3646" t="n">
        <v>0.0845009903651045</v>
      </c>
      <c r="H3646" t="n">
        <v>0.0175063187400855</v>
      </c>
      <c r="I3646" t="n">
        <v>0.1521804505884793</v>
      </c>
      <c r="J3646" t="n">
        <v>0.0487436512924062</v>
      </c>
      <c r="K3646" t="n">
        <v>0.3511160846425635</v>
      </c>
      <c r="L3646" t="b">
        <v>0</v>
      </c>
      <c r="M3646" t="b">
        <v>0</v>
      </c>
      <c r="N3646" t="inlineStr">
        <is>
          <t>ref</t>
        </is>
      </c>
      <c r="O3646" t="n">
        <v>65</v>
      </c>
      <c r="P3646" t="n">
        <v>0.009039999999999999</v>
      </c>
      <c r="Q3646" t="n">
        <v>60</v>
      </c>
      <c r="R3646" t="n">
        <v>0.06396</v>
      </c>
      <c r="S3646">
        <f>IMAGE("https://mitra.stanford.edu/kundaje/oak/projects/neuro-variants/variant_position/credible/roussos_2024/variant_figures/roussos_2024.childhood.GLU/rs78450636_count_position.png",4,220,900)</f>
        <v/>
      </c>
      <c r="T3646">
        <f>IMAGE("https://mitra.stanford.edu/kundaje/oak/projects/neuro-variants/variant_position/credible/roussos_2024/variant_figures/roussos_2024.childhood.GLU/rs78450636_profile_position.png",4,220,900)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-0.0355778785</v>
      </c>
      <c r="G3647" t="n">
        <v>0.2828891078286911</v>
      </c>
      <c r="H3647" t="n">
        <v>0.0128751803572019</v>
      </c>
      <c r="I3647" t="n">
        <v>0.3814815411202643</v>
      </c>
      <c r="J3647" t="n">
        <v>0.4848177032359092</v>
      </c>
      <c r="K3647" t="n">
        <v>0.0448979139355373</v>
      </c>
      <c r="L3647" t="b">
        <v>0</v>
      </c>
      <c r="M3647" t="b">
        <v>0</v>
      </c>
      <c r="N3647" t="inlineStr">
        <is>
          <t>ref</t>
        </is>
      </c>
      <c r="O3647" t="n">
        <v>-100</v>
      </c>
      <c r="P3647" t="n">
        <v>0.004505</v>
      </c>
      <c r="Q3647" t="n">
        <v>85</v>
      </c>
      <c r="R3647" t="n">
        <v>0.0796</v>
      </c>
      <c r="S3647">
        <f>IMAGE("https://mitra.stanford.edu/kundaje/oak/projects/neuro-variants/variant_position/credible/roussos_2024/variant_figures/roussos_2024.childhood.GLU/rs9366218_count_position.png",4,220,900)</f>
        <v/>
      </c>
      <c r="T3647">
        <f>IMAGE("https://mitra.stanford.edu/kundaje/oak/projects/neuro-variants/variant_position/credible/roussos_2024/variant_figures/roussos_2024.childhood.GLU/rs9366218_profile_position.png",4,220,900)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-0.07376847</v>
      </c>
      <c r="G3648" t="n">
        <v>0.102917095940546</v>
      </c>
      <c r="H3648" t="n">
        <v>0.0130231301841918</v>
      </c>
      <c r="I3648" t="n">
        <v>0.3730344942694069</v>
      </c>
      <c r="J3648" t="n">
        <v>0.183451636498501</v>
      </c>
      <c r="K3648" t="n">
        <v>0.158943981196232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0.02988</v>
      </c>
      <c r="Q3648" t="n">
        <v>100</v>
      </c>
      <c r="R3648" t="n">
        <v>0.2329</v>
      </c>
      <c r="S3648">
        <f>IMAGE("https://mitra.stanford.edu/kundaje/oak/projects/neuro-variants/variant_position/credible/roussos_2024/variant_figures/roussos_2024.childhood.GLU/rs10081152_count_position.png",4,220,900)</f>
        <v/>
      </c>
      <c r="T3648">
        <f>IMAGE("https://mitra.stanford.edu/kundaje/oak/projects/neuro-variants/variant_position/credible/roussos_2024/variant_figures/roussos_2024.childhood.GLU/rs10081152_profile_position.png",4,220,900)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0.04414938</v>
      </c>
      <c r="G3649" t="n">
        <v>0.2112687425206948</v>
      </c>
      <c r="H3649" t="n">
        <v>0.0126113462207188</v>
      </c>
      <c r="I3649" t="n">
        <v>0.4093856294726994</v>
      </c>
      <c r="J3649" t="n">
        <v>0.6337055848022499</v>
      </c>
      <c r="K3649" t="n">
        <v>0.0222066997493056</v>
      </c>
      <c r="L3649" t="b">
        <v>0</v>
      </c>
      <c r="M3649" t="b">
        <v>0</v>
      </c>
      <c r="N3649" t="inlineStr">
        <is>
          <t>alt</t>
        </is>
      </c>
      <c r="O3649" t="n">
        <v>-30</v>
      </c>
      <c r="P3649" t="n">
        <v>0.006927</v>
      </c>
      <c r="Q3649" t="n">
        <v>-100</v>
      </c>
      <c r="R3649" t="n">
        <v>0.2446</v>
      </c>
      <c r="S3649">
        <f>IMAGE("https://mitra.stanford.edu/kundaje/oak/projects/neuro-variants/variant_position/credible/roussos_2024/variant_figures/roussos_2024.childhood.GLU/rs12532128_count_position.png",4,220,900)</f>
        <v/>
      </c>
      <c r="T3649">
        <f>IMAGE("https://mitra.stanford.edu/kundaje/oak/projects/neuro-variants/variant_position/credible/roussos_2024/variant_figures/roussos_2024.childhood.GLU/rs12532128_profile_position.png",4,220,900)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-0.06281104680000001</v>
      </c>
      <c r="G3650" t="n">
        <v>0.1232448814462683</v>
      </c>
      <c r="H3650" t="n">
        <v>0.0150869981413564</v>
      </c>
      <c r="I3650" t="n">
        <v>0.2492849918511619</v>
      </c>
      <c r="J3650" t="n">
        <v>0.6988750038633109</v>
      </c>
      <c r="K3650" t="n">
        <v>0.0149000508416533</v>
      </c>
      <c r="L3650" t="b">
        <v>0</v>
      </c>
      <c r="M3650" t="b">
        <v>0</v>
      </c>
      <c r="N3650" t="inlineStr">
        <is>
          <t>ref</t>
        </is>
      </c>
      <c r="O3650" t="n">
        <v>95</v>
      </c>
      <c r="P3650" t="n">
        <v>0.007435</v>
      </c>
      <c r="Q3650" t="n">
        <v>95</v>
      </c>
      <c r="R3650" t="n">
        <v>0.07043000000000001</v>
      </c>
      <c r="S3650">
        <f>IMAGE("https://mitra.stanford.edu/kundaje/oak/projects/neuro-variants/variant_position/credible/roussos_2024/variant_figures/roussos_2024.childhood.GLU/rs4236277_count_position.png",4,220,900)</f>
        <v/>
      </c>
      <c r="T3650">
        <f>IMAGE("https://mitra.stanford.edu/kundaje/oak/projects/neuro-variants/variant_position/credible/roussos_2024/variant_figures/roussos_2024.childhood.GLU/rs4236277_profile_position.png",4,220,900)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-0.00593122754</v>
      </c>
      <c r="G3651" t="n">
        <v>0.7715952950513127</v>
      </c>
      <c r="H3651" t="n">
        <v>0.0115442205615169</v>
      </c>
      <c r="I3651" t="n">
        <v>0.4994444091379016</v>
      </c>
      <c r="J3651" t="n">
        <v>0.7207372227430537</v>
      </c>
      <c r="K3651" t="n">
        <v>0.0122403352573316</v>
      </c>
      <c r="L3651" t="b">
        <v>0</v>
      </c>
      <c r="M3651" t="b">
        <v>0</v>
      </c>
      <c r="N3651" t="inlineStr">
        <is>
          <t>ref</t>
        </is>
      </c>
      <c r="O3651" t="n">
        <v>-25</v>
      </c>
      <c r="P3651" t="n">
        <v>0.001735</v>
      </c>
      <c r="Q3651" t="n">
        <v>-15</v>
      </c>
      <c r="R3651" t="n">
        <v>0.01611</v>
      </c>
      <c r="S3651">
        <f>IMAGE("https://mitra.stanford.edu/kundaje/oak/projects/neuro-variants/variant_position/credible/roussos_2024/variant_figures/roussos_2024.childhood.GLU/rs12699439_count_position.png",4,220,900)</f>
        <v/>
      </c>
      <c r="T3651">
        <f>IMAGE("https://mitra.stanford.edu/kundaje/oak/projects/neuro-variants/variant_position/credible/roussos_2024/variant_figures/roussos_2024.childhood.GLU/rs12699439_profile_position.png",4,220,900)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0.0461834528</v>
      </c>
      <c r="G3652" t="n">
        <v>0.1736420180206626</v>
      </c>
      <c r="H3652" t="n">
        <v>0.009465566840412</v>
      </c>
      <c r="I3652" t="n">
        <v>0.7228942054042014</v>
      </c>
      <c r="J3652" t="n">
        <v>0.4949395778173838</v>
      </c>
      <c r="K3652" t="n">
        <v>0.0435399164663385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0.01779</v>
      </c>
      <c r="Q3652" t="n">
        <v>-25</v>
      </c>
      <c r="R3652" t="n">
        <v>0.0003662</v>
      </c>
      <c r="S3652">
        <f>IMAGE("https://mitra.stanford.edu/kundaje/oak/projects/neuro-variants/variant_position/credible/roussos_2024/variant_figures/roussos_2024.childhood.GLU/rs79606759_count_position.png",4,220,900)</f>
        <v/>
      </c>
      <c r="T3652">
        <f>IMAGE("https://mitra.stanford.edu/kundaje/oak/projects/neuro-variants/variant_position/credible/roussos_2024/variant_figures/roussos_2024.childhood.GLU/rs79606759_profile_position.png",4,220,900)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0.02363369666</v>
      </c>
      <c r="G3653" t="n">
        <v>0.4001890649872539</v>
      </c>
      <c r="H3653" t="n">
        <v>0.0324409094384608</v>
      </c>
      <c r="I3653" t="n">
        <v>0.0155800412456517</v>
      </c>
      <c r="J3653" t="n">
        <v>0.5234168151895082</v>
      </c>
      <c r="K3653" t="n">
        <v>0.0384730954261162</v>
      </c>
      <c r="L3653" t="b">
        <v>1</v>
      </c>
      <c r="M3653" t="b">
        <v>0</v>
      </c>
      <c r="N3653" t="inlineStr">
        <is>
          <t>alt</t>
        </is>
      </c>
      <c r="O3653" t="n">
        <v>35</v>
      </c>
      <c r="P3653" t="n">
        <v>0.002808</v>
      </c>
      <c r="Q3653" t="n">
        <v>-100</v>
      </c>
      <c r="R3653" t="n">
        <v>0.2019</v>
      </c>
      <c r="S3653">
        <f>IMAGE("https://mitra.stanford.edu/kundaje/oak/projects/neuro-variants/variant_position/credible/roussos_2024/variant_figures/roussos_2024.childhood.GLU/rs76150572_count_position.png",4,220,900)</f>
        <v/>
      </c>
      <c r="T3653">
        <f>IMAGE("https://mitra.stanford.edu/kundaje/oak/projects/neuro-variants/variant_position/credible/roussos_2024/variant_figures/roussos_2024.childhood.GLU/rs76150572_profile_position.png",4,220,900)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0.1485826608</v>
      </c>
      <c r="G3654" t="n">
        <v>0.0185015031922713</v>
      </c>
      <c r="H3654" t="n">
        <v>0.0270853208542711</v>
      </c>
      <c r="I3654" t="n">
        <v>0.032930429755777</v>
      </c>
      <c r="J3654" t="n">
        <v>0.0044577456808183</v>
      </c>
      <c r="K3654" t="n">
        <v>0.7007448584319133</v>
      </c>
      <c r="L3654" t="b">
        <v>1</v>
      </c>
      <c r="M3654" t="b">
        <v>0</v>
      </c>
      <c r="N3654" t="inlineStr">
        <is>
          <t>alt</t>
        </is>
      </c>
      <c r="O3654" t="n">
        <v>-45</v>
      </c>
      <c r="P3654" t="n">
        <v>0.003021</v>
      </c>
      <c r="Q3654" t="n">
        <v>-70</v>
      </c>
      <c r="R3654" t="n">
        <v>0.08215</v>
      </c>
      <c r="S3654">
        <f>IMAGE("https://mitra.stanford.edu/kundaje/oak/projects/neuro-variants/variant_position/credible/roussos_2024/variant_figures/roussos_2024.childhood.GLU/rs117831773_count_position.png",4,220,900)</f>
        <v/>
      </c>
      <c r="T3654">
        <f>IMAGE("https://mitra.stanford.edu/kundaje/oak/projects/neuro-variants/variant_position/credible/roussos_2024/variant_figures/roussos_2024.childhood.GLU/rs117831773_profile_position.png",4,220,900)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-0.00403922768</v>
      </c>
      <c r="G3655" t="n">
        <v>0.5094949664991958</v>
      </c>
      <c r="H3655" t="n">
        <v>0.014630360880889</v>
      </c>
      <c r="I3655" t="n">
        <v>0.276048850174325</v>
      </c>
      <c r="J3655" t="n">
        <v>0.0711209782933437</v>
      </c>
      <c r="K3655" t="n">
        <v>0.2977571912454662</v>
      </c>
      <c r="L3655" t="b">
        <v>0</v>
      </c>
      <c r="M3655" t="b">
        <v>0</v>
      </c>
      <c r="N3655" t="inlineStr">
        <is>
          <t>ref</t>
        </is>
      </c>
      <c r="O3655" t="n">
        <v>-70</v>
      </c>
      <c r="P3655" t="n">
        <v>0.003582</v>
      </c>
      <c r="Q3655" t="n">
        <v>-60</v>
      </c>
      <c r="R3655" t="n">
        <v>0.07385</v>
      </c>
      <c r="S3655">
        <f>IMAGE("https://mitra.stanford.edu/kundaje/oak/projects/neuro-variants/variant_position/credible/roussos_2024/variant_figures/roussos_2024.childhood.GLU/rs75285243_count_position.png",4,220,900)</f>
        <v/>
      </c>
      <c r="T3655">
        <f>IMAGE("https://mitra.stanford.edu/kundaje/oak/projects/neuro-variants/variant_position/credible/roussos_2024/variant_figures/roussos_2024.childhood.GLU/rs75285243_profile_position.png",4,220,900)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0.078644513</v>
      </c>
      <c r="G3656" t="n">
        <v>0.073887182076717</v>
      </c>
      <c r="H3656" t="n">
        <v>0.0115652667550605</v>
      </c>
      <c r="I3656" t="n">
        <v>0.4935392857609998</v>
      </c>
      <c r="J3656" t="n">
        <v>0.0366066737408181</v>
      </c>
      <c r="K3656" t="n">
        <v>0.410810031936074</v>
      </c>
      <c r="L3656" t="b">
        <v>0</v>
      </c>
      <c r="M3656" t="b">
        <v>0</v>
      </c>
      <c r="N3656" t="inlineStr">
        <is>
          <t>alt</t>
        </is>
      </c>
      <c r="O3656" t="n">
        <v>100</v>
      </c>
      <c r="P3656" t="n">
        <v>0.004364</v>
      </c>
      <c r="Q3656" t="n">
        <v>-95</v>
      </c>
      <c r="R3656" t="n">
        <v>0.04074</v>
      </c>
      <c r="S3656">
        <f>IMAGE("https://mitra.stanford.edu/kundaje/oak/projects/neuro-variants/variant_position/credible/roussos_2024/variant_figures/roussos_2024.childhood.GLU/rs76124438_count_position.png",4,220,900)</f>
        <v/>
      </c>
      <c r="T3656">
        <f>IMAGE("https://mitra.stanford.edu/kundaje/oak/projects/neuro-variants/variant_position/credible/roussos_2024/variant_figures/roussos_2024.childhood.GLU/rs76124438_profile_position.png",4,220,900)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-0.2040304299999999</v>
      </c>
      <c r="G3657" t="n">
        <v>0.0069289995333268</v>
      </c>
      <c r="H3657" t="n">
        <v>0.026564583775228</v>
      </c>
      <c r="I3657" t="n">
        <v>0.0336620238973788</v>
      </c>
      <c r="J3657" t="n">
        <v>0.3493710529840213</v>
      </c>
      <c r="K3657" t="n">
        <v>0.0792830186961852</v>
      </c>
      <c r="L3657" t="b">
        <v>1</v>
      </c>
      <c r="M3657" t="b">
        <v>1</v>
      </c>
      <c r="N3657" t="inlineStr">
        <is>
          <t>ref</t>
        </is>
      </c>
      <c r="O3657" t="n">
        <v>-35</v>
      </c>
      <c r="P3657" t="n">
        <v>0.0003014</v>
      </c>
      <c r="Q3657" t="n">
        <v>100</v>
      </c>
      <c r="R3657" t="n">
        <v>0.155</v>
      </c>
      <c r="S3657">
        <f>IMAGE("https://mitra.stanford.edu/kundaje/oak/projects/neuro-variants/variant_position/credible/roussos_2024/variant_figures/roussos_2024.childhood.GLU/rs112393694_count_position.png",4,220,900)</f>
        <v/>
      </c>
      <c r="T3657">
        <f>IMAGE("https://mitra.stanford.edu/kundaje/oak/projects/neuro-variants/variant_position/credible/roussos_2024/variant_figures/roussos_2024.childhood.GLU/rs112393694_profile_position.png",4,220,900)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-0.218677036</v>
      </c>
      <c r="G3658" t="n">
        <v>0.0057524168899116</v>
      </c>
      <c r="H3658" t="n">
        <v>0.0327221072718095</v>
      </c>
      <c r="I3658" t="n">
        <v>0.0153598304574869</v>
      </c>
      <c r="J3658" t="n">
        <v>0.2636220342649922</v>
      </c>
      <c r="K3658" t="n">
        <v>0.1128777782589311</v>
      </c>
      <c r="L3658" t="b">
        <v>1</v>
      </c>
      <c r="M3658" t="b">
        <v>1</v>
      </c>
      <c r="N3658" t="inlineStr">
        <is>
          <t>ref</t>
        </is>
      </c>
      <c r="O3658" t="n">
        <v>70</v>
      </c>
      <c r="P3658" t="n">
        <v>0.0358</v>
      </c>
      <c r="Q3658" t="n">
        <v>-80</v>
      </c>
      <c r="R3658" t="n">
        <v>0.0781</v>
      </c>
      <c r="S3658">
        <f>IMAGE("https://mitra.stanford.edu/kundaje/oak/projects/neuro-variants/variant_position/credible/roussos_2024/variant_figures/roussos_2024.childhood.GLU/rs79231966_count_position.png",4,220,900)</f>
        <v/>
      </c>
      <c r="T3658">
        <f>IMAGE("https://mitra.stanford.edu/kundaje/oak/projects/neuro-variants/variant_position/credible/roussos_2024/variant_figures/roussos_2024.childhood.GLU/rs79231966_profile_position.png",4,220,900)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-0.013995844652</v>
      </c>
      <c r="G3659" t="n">
        <v>0.6048238838820102</v>
      </c>
      <c r="H3659" t="n">
        <v>0.009923268948854201</v>
      </c>
      <c r="I3659" t="n">
        <v>0.6496317866287649</v>
      </c>
      <c r="J3659" t="n">
        <v>0.0582391543985082</v>
      </c>
      <c r="K3659" t="n">
        <v>0.3255598137670132</v>
      </c>
      <c r="L3659" t="b">
        <v>0</v>
      </c>
      <c r="M3659" t="b">
        <v>0</v>
      </c>
      <c r="N3659" t="inlineStr">
        <is>
          <t>ref</t>
        </is>
      </c>
      <c r="O3659" t="n">
        <v>100</v>
      </c>
      <c r="P3659" t="n">
        <v>0.007900000000000001</v>
      </c>
      <c r="Q3659" t="n">
        <v>100</v>
      </c>
      <c r="R3659" t="n">
        <v>0.0238</v>
      </c>
      <c r="S3659">
        <f>IMAGE("https://mitra.stanford.edu/kundaje/oak/projects/neuro-variants/variant_position/credible/roussos_2024/variant_figures/roussos_2024.childhood.GLU/rs11972718_count_position.png",4,220,900)</f>
        <v/>
      </c>
      <c r="T3659">
        <f>IMAGE("https://mitra.stanford.edu/kundaje/oak/projects/neuro-variants/variant_position/credible/roussos_2024/variant_figures/roussos_2024.childhood.GLU/rs11972718_profile_position.png",4,220,900)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0.0618092435999999</v>
      </c>
      <c r="G3660" t="n">
        <v>0.1228129178629784</v>
      </c>
      <c r="H3660" t="n">
        <v>0.0114554332207835</v>
      </c>
      <c r="I3660" t="n">
        <v>0.502040516193541</v>
      </c>
      <c r="J3660" t="n">
        <v>0.0336283185840707</v>
      </c>
      <c r="K3660" t="n">
        <v>0.4077605048907446</v>
      </c>
      <c r="L3660" t="b">
        <v>0</v>
      </c>
      <c r="M3660" t="b">
        <v>0</v>
      </c>
      <c r="N3660" t="inlineStr">
        <is>
          <t>alt</t>
        </is>
      </c>
      <c r="O3660" t="n">
        <v>-80</v>
      </c>
      <c r="P3660" t="n">
        <v>0.001434</v>
      </c>
      <c r="Q3660" t="n">
        <v>15</v>
      </c>
      <c r="R3660" t="n">
        <v>0.007812</v>
      </c>
      <c r="S3660">
        <f>IMAGE("https://mitra.stanford.edu/kundaje/oak/projects/neuro-variants/variant_position/credible/roussos_2024/variant_figures/roussos_2024.childhood.GLU/rs2040765_count_position.png",4,220,900)</f>
        <v/>
      </c>
      <c r="T3660">
        <f>IMAGE("https://mitra.stanford.edu/kundaje/oak/projects/neuro-variants/variant_position/credible/roussos_2024/variant_figures/roussos_2024.childhood.GLU/rs2040765_profile_position.png",4,220,900)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0.01676261804</v>
      </c>
      <c r="G3661" t="n">
        <v>0.5536137539395495</v>
      </c>
      <c r="H3661" t="n">
        <v>0.0116965525716568</v>
      </c>
      <c r="I3661" t="n">
        <v>0.4800784018127037</v>
      </c>
      <c r="J3661" t="n">
        <v>0.0279291623311732</v>
      </c>
      <c r="K3661" t="n">
        <v>0.4373582541396827</v>
      </c>
      <c r="L3661" t="b">
        <v>0</v>
      </c>
      <c r="M3661" t="b">
        <v>0</v>
      </c>
      <c r="N3661" t="inlineStr">
        <is>
          <t>alt</t>
        </is>
      </c>
      <c r="O3661" t="n">
        <v>100</v>
      </c>
      <c r="P3661" t="n">
        <v>0.004303</v>
      </c>
      <c r="Q3661" t="n">
        <v>0</v>
      </c>
      <c r="R3661" t="n">
        <v>0</v>
      </c>
      <c r="S3661">
        <f>IMAGE("https://mitra.stanford.edu/kundaje/oak/projects/neuro-variants/variant_position/credible/roussos_2024/variant_figures/roussos_2024.childhood.GLU/rs2040766_count_position.png",4,220,900)</f>
        <v/>
      </c>
      <c r="T3661">
        <f>IMAGE("https://mitra.stanford.edu/kundaje/oak/projects/neuro-variants/variant_position/credible/roussos_2024/variant_figures/roussos_2024.childhood.GLU/rs2040766_profile_position.png",4,220,900)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0.0280076148</v>
      </c>
      <c r="G3662" t="n">
        <v>0.3400110117561458</v>
      </c>
      <c r="H3662" t="n">
        <v>0.0100153203086919</v>
      </c>
      <c r="I3662" t="n">
        <v>0.6562574849089841</v>
      </c>
      <c r="J3662" t="n">
        <v>0.0275943420523967</v>
      </c>
      <c r="K3662" t="n">
        <v>0.4380889431815155</v>
      </c>
      <c r="L3662" t="b">
        <v>0</v>
      </c>
      <c r="M3662" t="b">
        <v>0</v>
      </c>
      <c r="N3662" t="inlineStr">
        <is>
          <t>alt</t>
        </is>
      </c>
      <c r="O3662" t="n">
        <v>100</v>
      </c>
      <c r="P3662" t="n">
        <v>0.004936</v>
      </c>
      <c r="Q3662" t="n">
        <v>100</v>
      </c>
      <c r="R3662" t="n">
        <v>0.02216</v>
      </c>
      <c r="S3662">
        <f>IMAGE("https://mitra.stanford.edu/kundaje/oak/projects/neuro-variants/variant_position/credible/roussos_2024/variant_figures/roussos_2024.childhood.GLU/rs2040767_count_position.png",4,220,900)</f>
        <v/>
      </c>
      <c r="T3662">
        <f>IMAGE("https://mitra.stanford.edu/kundaje/oak/projects/neuro-variants/variant_position/credible/roussos_2024/variant_figures/roussos_2024.childhood.GLU/rs2040767_profile_position.png",4,220,900)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-0.0175587314</v>
      </c>
      <c r="G3663" t="n">
        <v>0.5256842296282748</v>
      </c>
      <c r="H3663" t="n">
        <v>0.0107083277821187</v>
      </c>
      <c r="I3663" t="n">
        <v>0.5759078908594457</v>
      </c>
      <c r="J3663" t="n">
        <v>0.0914698095130167</v>
      </c>
      <c r="K3663" t="n">
        <v>0.2622909777036097</v>
      </c>
      <c r="L3663" t="b">
        <v>0</v>
      </c>
      <c r="M3663" t="b">
        <v>0</v>
      </c>
      <c r="N3663" t="inlineStr">
        <is>
          <t>ref</t>
        </is>
      </c>
      <c r="O3663" t="n">
        <v>-20</v>
      </c>
      <c r="P3663" t="n">
        <v>0.001572</v>
      </c>
      <c r="Q3663" t="n">
        <v>-75</v>
      </c>
      <c r="R3663" t="n">
        <v>0.05713</v>
      </c>
      <c r="S3663">
        <f>IMAGE("https://mitra.stanford.edu/kundaje/oak/projects/neuro-variants/variant_position/credible/roussos_2024/variant_figures/roussos_2024.childhood.GLU/rs1557841_count_position.png",4,220,900)</f>
        <v/>
      </c>
      <c r="T3663">
        <f>IMAGE("https://mitra.stanford.edu/kundaje/oak/projects/neuro-variants/variant_position/credible/roussos_2024/variant_figures/roussos_2024.childhood.GLU/rs1557841_profile_position.png",4,220,900)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0.0476702695999999</v>
      </c>
      <c r="G3664" t="n">
        <v>0.1877814129624643</v>
      </c>
      <c r="H3664" t="n">
        <v>0.0170631365452931</v>
      </c>
      <c r="I3664" t="n">
        <v>0.167440398353041</v>
      </c>
      <c r="J3664" t="n">
        <v>0.0020418885924154</v>
      </c>
      <c r="K3664" t="n">
        <v>0.7634112072374164</v>
      </c>
      <c r="L3664" t="b">
        <v>0</v>
      </c>
      <c r="M3664" t="b">
        <v>0</v>
      </c>
      <c r="N3664" t="inlineStr">
        <is>
          <t>alt</t>
        </is>
      </c>
      <c r="O3664" t="n">
        <v>-40</v>
      </c>
      <c r="P3664" t="n">
        <v>0.004234</v>
      </c>
      <c r="Q3664" t="n">
        <v>80</v>
      </c>
      <c r="R3664" t="n">
        <v>0.05963</v>
      </c>
      <c r="S3664">
        <f>IMAGE("https://mitra.stanford.edu/kundaje/oak/projects/neuro-variants/variant_position/credible/roussos_2024/variant_figures/roussos_2024.childhood.GLU/rs17464820_count_position.png",4,220,900)</f>
        <v/>
      </c>
      <c r="T3664">
        <f>IMAGE("https://mitra.stanford.edu/kundaje/oak/projects/neuro-variants/variant_position/credible/roussos_2024/variant_figures/roussos_2024.childhood.GLU/rs17464820_profile_position.png",4,220,900)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0.08522825219999999</v>
      </c>
      <c r="G3665" t="n">
        <v>0.0679014648902162</v>
      </c>
      <c r="H3665" t="n">
        <v>0.0303113339465896</v>
      </c>
      <c r="I3665" t="n">
        <v>0.0221441643977995</v>
      </c>
      <c r="J3665" t="n">
        <v>0.0719255771786497</v>
      </c>
      <c r="K3665" t="n">
        <v>0.2927426221171914</v>
      </c>
      <c r="L3665" t="b">
        <v>0</v>
      </c>
      <c r="M3665" t="b">
        <v>0</v>
      </c>
      <c r="N3665" t="inlineStr">
        <is>
          <t>alt</t>
        </is>
      </c>
      <c r="O3665" t="n">
        <v>-45</v>
      </c>
      <c r="P3665" t="n">
        <v>0.003784</v>
      </c>
      <c r="Q3665" t="n">
        <v>90</v>
      </c>
      <c r="R3665" t="n">
        <v>0.11523</v>
      </c>
      <c r="S3665">
        <f>IMAGE("https://mitra.stanford.edu/kundaje/oak/projects/neuro-variants/variant_position/credible/roussos_2024/variant_figures/roussos_2024.childhood.GLU/rs9639377_count_position.png",4,220,900)</f>
        <v/>
      </c>
      <c r="T3665">
        <f>IMAGE("https://mitra.stanford.edu/kundaje/oak/projects/neuro-variants/variant_position/credible/roussos_2024/variant_figures/roussos_2024.childhood.GLU/rs9639377_profile_position.png",4,220,900)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0.0462676612</v>
      </c>
      <c r="G3666" t="n">
        <v>0.1964134068500962</v>
      </c>
      <c r="H3666" t="n">
        <v>0.0103653712931684</v>
      </c>
      <c r="I3666" t="n">
        <v>0.6232328883772439</v>
      </c>
      <c r="J3666" t="n">
        <v>0.0689482522381447</v>
      </c>
      <c r="K3666" t="n">
        <v>0.3247686639619651</v>
      </c>
      <c r="L3666" t="b">
        <v>0</v>
      </c>
      <c r="M3666" t="b">
        <v>0</v>
      </c>
      <c r="N3666" t="inlineStr">
        <is>
          <t>alt</t>
        </is>
      </c>
      <c r="O3666" t="n">
        <v>-60</v>
      </c>
      <c r="P3666" t="n">
        <v>0.005505</v>
      </c>
      <c r="Q3666" t="n">
        <v>95</v>
      </c>
      <c r="R3666" t="n">
        <v>0.1267</v>
      </c>
      <c r="S3666">
        <f>IMAGE("https://mitra.stanford.edu/kundaje/oak/projects/neuro-variants/variant_position/credible/roussos_2024/variant_figures/roussos_2024.childhood.GLU/rs7796796_count_position.png",4,220,900)</f>
        <v/>
      </c>
      <c r="T3666">
        <f>IMAGE("https://mitra.stanford.edu/kundaje/oak/projects/neuro-variants/variant_position/credible/roussos_2024/variant_figures/roussos_2024.childhood.GLU/rs7796796_profile_position.png",4,220,900)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0.107259358</v>
      </c>
      <c r="G3667" t="n">
        <v>0.0422618876851987</v>
      </c>
      <c r="H3667" t="n">
        <v>0.0230802906991557</v>
      </c>
      <c r="I3667" t="n">
        <v>0.0638250378869602</v>
      </c>
      <c r="J3667" t="n">
        <v>0.000473899471499</v>
      </c>
      <c r="K3667" t="n">
        <v>0.872700071067371</v>
      </c>
      <c r="L3667" t="b">
        <v>0</v>
      </c>
      <c r="M3667" t="b">
        <v>0</v>
      </c>
      <c r="N3667" t="inlineStr">
        <is>
          <t>alt</t>
        </is>
      </c>
      <c r="O3667" t="n">
        <v>-65</v>
      </c>
      <c r="P3667" t="n">
        <v>0.006004</v>
      </c>
      <c r="Q3667" t="n">
        <v>45</v>
      </c>
      <c r="R3667" t="n">
        <v>0.0696</v>
      </c>
      <c r="S3667">
        <f>IMAGE("https://mitra.stanford.edu/kundaje/oak/projects/neuro-variants/variant_position/credible/roussos_2024/variant_figures/roussos_2024.childhood.GLU/rs6948810_count_position.png",4,220,900)</f>
        <v/>
      </c>
      <c r="T3667">
        <f>IMAGE("https://mitra.stanford.edu/kundaje/oak/projects/neuro-variants/variant_position/credible/roussos_2024/variant_figures/roussos_2024.childhood.GLU/rs6948810_profile_position.png",4,220,900)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-0.0787119708</v>
      </c>
      <c r="G3668" t="n">
        <v>0.0775039905611101</v>
      </c>
      <c r="H3668" t="n">
        <v>0.0304991235296854</v>
      </c>
      <c r="I3668" t="n">
        <v>0.0195604835012142</v>
      </c>
      <c r="J3668" t="n">
        <v>0.8684898060102816</v>
      </c>
      <c r="K3668" t="n">
        <v>0.0033142891860945</v>
      </c>
      <c r="L3668" t="b">
        <v>1</v>
      </c>
      <c r="M3668" t="b">
        <v>0</v>
      </c>
      <c r="N3668" t="inlineStr">
        <is>
          <t>ref</t>
        </is>
      </c>
      <c r="O3668" t="n">
        <v>-25</v>
      </c>
      <c r="P3668" t="n">
        <v>0.01001</v>
      </c>
      <c r="Q3668" t="n">
        <v>-30</v>
      </c>
      <c r="R3668" t="n">
        <v>0.1211</v>
      </c>
      <c r="S3668">
        <f>IMAGE("https://mitra.stanford.edu/kundaje/oak/projects/neuro-variants/variant_position/credible/roussos_2024/variant_figures/roussos_2024.childhood.GLU/rs56359038_count_position.png",4,220,900)</f>
        <v/>
      </c>
      <c r="T3668">
        <f>IMAGE("https://mitra.stanford.edu/kundaje/oak/projects/neuro-variants/variant_position/credible/roussos_2024/variant_figures/roussos_2024.childhood.GLU/rs56359038_profile_position.png",4,220,900)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-0.0473926962</v>
      </c>
      <c r="G3669" t="n">
        <v>0.1976085544755382</v>
      </c>
      <c r="H3669" t="n">
        <v>0.0176491020800779</v>
      </c>
      <c r="I3669" t="n">
        <v>0.1483694332638844</v>
      </c>
      <c r="J3669" t="n">
        <v>0.0021294569730185</v>
      </c>
      <c r="K3669" t="n">
        <v>0.7636537513604218</v>
      </c>
      <c r="L3669" t="b">
        <v>0</v>
      </c>
      <c r="M3669" t="b">
        <v>0</v>
      </c>
      <c r="N3669" t="inlineStr">
        <is>
          <t>ref</t>
        </is>
      </c>
      <c r="O3669" t="n">
        <v>-70</v>
      </c>
      <c r="P3669" t="n">
        <v>0.01593</v>
      </c>
      <c r="Q3669" t="n">
        <v>75</v>
      </c>
      <c r="R3669" t="n">
        <v>0.0808</v>
      </c>
      <c r="S3669">
        <f>IMAGE("https://mitra.stanford.edu/kundaje/oak/projects/neuro-variants/variant_position/credible/roussos_2024/variant_figures/roussos_2024.childhood.GLU/rs6966655_count_position.png",4,220,900)</f>
        <v/>
      </c>
      <c r="T3669">
        <f>IMAGE("https://mitra.stanford.edu/kundaje/oak/projects/neuro-variants/variant_position/credible/roussos_2024/variant_figures/roussos_2024.childhood.GLU/rs6966655_profile_position.png",4,220,900)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0.00711427454</v>
      </c>
      <c r="G3670" t="n">
        <v>0.6863490597957781</v>
      </c>
      <c r="H3670" t="n">
        <v>0.0218365711492378</v>
      </c>
      <c r="I3670" t="n">
        <v>0.0719173909461485</v>
      </c>
      <c r="J3670" t="n">
        <v>0.0005367426622846999</v>
      </c>
      <c r="K3670" t="n">
        <v>0.8691489287551905</v>
      </c>
      <c r="L3670" t="b">
        <v>0</v>
      </c>
      <c r="M3670" t="b">
        <v>0</v>
      </c>
      <c r="N3670" t="inlineStr">
        <is>
          <t>alt</t>
        </is>
      </c>
      <c r="O3670" t="n">
        <v>-100</v>
      </c>
      <c r="P3670" t="n">
        <v>0.0114</v>
      </c>
      <c r="Q3670" t="n">
        <v>-60</v>
      </c>
      <c r="R3670" t="n">
        <v>0.077</v>
      </c>
      <c r="S3670">
        <f>IMAGE("https://mitra.stanford.edu/kundaje/oak/projects/neuro-variants/variant_position/credible/roussos_2024/variant_figures/roussos_2024.childhood.GLU/rs2106747_count_position.png",4,220,900)</f>
        <v/>
      </c>
      <c r="T3670">
        <f>IMAGE("https://mitra.stanford.edu/kundaje/oak/projects/neuro-variants/variant_position/credible/roussos_2024/variant_figures/roussos_2024.childhood.GLU/rs2106747_profile_position.png",4,220,900)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-0.121122708</v>
      </c>
      <c r="G3671" t="n">
        <v>0.034065657535539</v>
      </c>
      <c r="H3671" t="n">
        <v>0.0141296831441509</v>
      </c>
      <c r="I3671" t="n">
        <v>0.307276483979489</v>
      </c>
      <c r="J3671" t="n">
        <v>0.1055044453830858</v>
      </c>
      <c r="K3671" t="n">
        <v>0.2377413696625904</v>
      </c>
      <c r="L3671" t="b">
        <v>0</v>
      </c>
      <c r="M3671" t="b">
        <v>0</v>
      </c>
      <c r="N3671" t="inlineStr">
        <is>
          <t>ref</t>
        </is>
      </c>
      <c r="O3671" t="n">
        <v>5</v>
      </c>
      <c r="P3671" t="n">
        <v>0.0003357</v>
      </c>
      <c r="Q3671" t="n">
        <v>-15</v>
      </c>
      <c r="R3671" t="n">
        <v>0.07199999999999999</v>
      </c>
      <c r="S3671">
        <f>IMAGE("https://mitra.stanford.edu/kundaje/oak/projects/neuro-variants/variant_position/credible/roussos_2024/variant_figures/roussos_2024.childhood.GLU/rs9769098_count_position.png",4,220,900)</f>
        <v/>
      </c>
      <c r="T3671">
        <f>IMAGE("https://mitra.stanford.edu/kundaje/oak/projects/neuro-variants/variant_position/credible/roussos_2024/variant_figures/roussos_2024.childhood.GLU/rs9769098_profile_position.png",4,220,900)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0.0421765434</v>
      </c>
      <c r="G3672" t="n">
        <v>0.2188968044249254</v>
      </c>
      <c r="H3672" t="n">
        <v>0.0232419372100966</v>
      </c>
      <c r="I3672" t="n">
        <v>0.0572297015992887</v>
      </c>
      <c r="J3672" t="n">
        <v>0.1085178278920745</v>
      </c>
      <c r="K3672" t="n">
        <v>0.2323435987155447</v>
      </c>
      <c r="L3672" t="b">
        <v>0</v>
      </c>
      <c r="M3672" t="b">
        <v>0</v>
      </c>
      <c r="N3672" t="inlineStr">
        <is>
          <t>alt</t>
        </is>
      </c>
      <c r="O3672" t="n">
        <v>-75</v>
      </c>
      <c r="P3672" t="n">
        <v>0.002117</v>
      </c>
      <c r="Q3672" t="n">
        <v>-5</v>
      </c>
      <c r="R3672" t="n">
        <v>0.002441</v>
      </c>
      <c r="S3672">
        <f>IMAGE("https://mitra.stanford.edu/kundaje/oak/projects/neuro-variants/variant_position/credible/roussos_2024/variant_figures/roussos_2024.childhood.GLU/rs13244145_count_position.png",4,220,900)</f>
        <v/>
      </c>
      <c r="T3672">
        <f>IMAGE("https://mitra.stanford.edu/kundaje/oak/projects/neuro-variants/variant_position/credible/roussos_2024/variant_figures/roussos_2024.childhood.GLU/rs13244145_profile_position.png",4,220,900)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-0.0306189296</v>
      </c>
      <c r="G3673" t="n">
        <v>0.3420515848323778</v>
      </c>
      <c r="H3673" t="n">
        <v>0.0089851515511953</v>
      </c>
      <c r="I3673" t="n">
        <v>0.7625485094011497</v>
      </c>
      <c r="J3673" t="n">
        <v>0.2601275407708078</v>
      </c>
      <c r="K3673" t="n">
        <v>0.1137290775010539</v>
      </c>
      <c r="L3673" t="b">
        <v>0</v>
      </c>
      <c r="M3673" t="b">
        <v>0</v>
      </c>
      <c r="N3673" t="inlineStr">
        <is>
          <t>ref</t>
        </is>
      </c>
      <c r="O3673" t="n">
        <v>100</v>
      </c>
      <c r="P3673" t="n">
        <v>0.01554</v>
      </c>
      <c r="Q3673" t="n">
        <v>-95</v>
      </c>
      <c r="R3673" t="n">
        <v>0.2168</v>
      </c>
      <c r="S3673">
        <f>IMAGE("https://mitra.stanford.edu/kundaje/oak/projects/neuro-variants/variant_position/credible/roussos_2024/variant_figures/roussos_2024.childhood.GLU/rs146616002_count_position.png",4,220,900)</f>
        <v/>
      </c>
      <c r="T3673">
        <f>IMAGE("https://mitra.stanford.edu/kundaje/oak/projects/neuro-variants/variant_position/credible/roussos_2024/variant_figures/roussos_2024.childhood.GLU/rs146616002_profile_position.png",4,220,900)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0.04345607872</v>
      </c>
      <c r="G3674" t="n">
        <v>0.2222345984680782</v>
      </c>
      <c r="H3674" t="n">
        <v>0.0095423412623154</v>
      </c>
      <c r="I3674" t="n">
        <v>0.6743889463049054</v>
      </c>
      <c r="J3674" t="n">
        <v>0.376091771662872</v>
      </c>
      <c r="K3674" t="n">
        <v>0.0710349974417486</v>
      </c>
      <c r="L3674" t="b">
        <v>0</v>
      </c>
      <c r="M3674" t="b">
        <v>0</v>
      </c>
      <c r="N3674" t="inlineStr">
        <is>
          <t>alt</t>
        </is>
      </c>
      <c r="O3674" t="n">
        <v>100</v>
      </c>
      <c r="P3674" t="n">
        <v>0.0239</v>
      </c>
      <c r="Q3674" t="n">
        <v>-75</v>
      </c>
      <c r="R3674" t="n">
        <v>0.1582</v>
      </c>
      <c r="S3674">
        <f>IMAGE("https://mitra.stanford.edu/kundaje/oak/projects/neuro-variants/variant_position/credible/roussos_2024/variant_figures/roussos_2024.childhood.GLU/rs17150022_count_position.png",4,220,900)</f>
        <v/>
      </c>
      <c r="T3674">
        <f>IMAGE("https://mitra.stanford.edu/kundaje/oak/projects/neuro-variants/variant_position/credible/roussos_2024/variant_figures/roussos_2024.childhood.GLU/rs17150022_profile_position.png",4,220,900)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-0.0117911628199999</v>
      </c>
      <c r="G3675" t="n">
        <v>0.6311685943423814</v>
      </c>
      <c r="H3675" t="n">
        <v>0.0097704451382671</v>
      </c>
      <c r="I3675" t="n">
        <v>0.6910943267484448</v>
      </c>
      <c r="J3675" t="n">
        <v>0.0141376574943079</v>
      </c>
      <c r="K3675" t="n">
        <v>0.5427330554187819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0.02454</v>
      </c>
      <c r="Q3675" t="n">
        <v>-85</v>
      </c>
      <c r="R3675" t="n">
        <v>0.05914</v>
      </c>
      <c r="S3675">
        <f>IMAGE("https://mitra.stanford.edu/kundaje/oak/projects/neuro-variants/variant_position/credible/roussos_2024/variant_figures/roussos_2024.childhood.GLU/rs80195870_count_position.png",4,220,900)</f>
        <v/>
      </c>
      <c r="T3675">
        <f>IMAGE("https://mitra.stanford.edu/kundaje/oak/projects/neuro-variants/variant_position/credible/roussos_2024/variant_figures/roussos_2024.childhood.GLU/rs80195870_profile_position.png",4,220,900)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0.00930031756</v>
      </c>
      <c r="G3676" t="n">
        <v>0.6571311524965663</v>
      </c>
      <c r="H3676" t="n">
        <v>0.0291193737495982</v>
      </c>
      <c r="I3676" t="n">
        <v>0.0237280352741789</v>
      </c>
      <c r="J3676" t="n">
        <v>0.0002008921672658</v>
      </c>
      <c r="K3676" t="n">
        <v>0.9115099828576269</v>
      </c>
      <c r="L3676" t="b">
        <v>0</v>
      </c>
      <c r="M3676" t="b">
        <v>0</v>
      </c>
      <c r="N3676" t="inlineStr">
        <is>
          <t>alt</t>
        </is>
      </c>
      <c r="O3676" t="n">
        <v>-15</v>
      </c>
      <c r="P3676" t="n">
        <v>0.000887</v>
      </c>
      <c r="Q3676" t="n">
        <v>-90</v>
      </c>
      <c r="R3676" t="n">
        <v>0.02539</v>
      </c>
      <c r="S3676">
        <f>IMAGE("https://mitra.stanford.edu/kundaje/oak/projects/neuro-variants/variant_position/credible/roussos_2024/variant_figures/roussos_2024.childhood.GLU/rs114829110_count_position.png",4,220,900)</f>
        <v/>
      </c>
      <c r="T3676">
        <f>IMAGE("https://mitra.stanford.edu/kundaje/oak/projects/neuro-variants/variant_position/credible/roussos_2024/variant_figures/roussos_2024.childhood.GLU/rs114829110_profile_position.png",4,220,900)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0.0337733696</v>
      </c>
      <c r="G3677" t="n">
        <v>0.3007467097107107</v>
      </c>
      <c r="H3677" t="n">
        <v>0.0072586911004982</v>
      </c>
      <c r="I3677" t="n">
        <v>0.9168446218758132</v>
      </c>
      <c r="J3677" t="n">
        <v>0.3730474826666117</v>
      </c>
      <c r="K3677" t="n">
        <v>0.0721686909021161</v>
      </c>
      <c r="L3677" t="b">
        <v>0</v>
      </c>
      <c r="M3677" t="b">
        <v>0</v>
      </c>
      <c r="N3677" t="inlineStr">
        <is>
          <t>alt</t>
        </is>
      </c>
      <c r="O3677" t="n">
        <v>15</v>
      </c>
      <c r="P3677" t="n">
        <v>0.002739</v>
      </c>
      <c r="Q3677" t="n">
        <v>-40</v>
      </c>
      <c r="R3677" t="n">
        <v>0.08484</v>
      </c>
      <c r="S3677">
        <f>IMAGE("https://mitra.stanford.edu/kundaje/oak/projects/neuro-variants/variant_position/credible/roussos_2024/variant_figures/roussos_2024.childhood.GLU/rs11509873_count_position.png",4,220,900)</f>
        <v/>
      </c>
      <c r="T3677">
        <f>IMAGE("https://mitra.stanford.edu/kundaje/oak/projects/neuro-variants/variant_position/credible/roussos_2024/variant_figures/roussos_2024.childhood.GLU/rs11509873_profile_position.png",4,220,900)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-0.0469748388</v>
      </c>
      <c r="G3678" t="n">
        <v>0.2011101821027305</v>
      </c>
      <c r="H3678" t="n">
        <v>0.0092649811342033</v>
      </c>
      <c r="I3678" t="n">
        <v>0.7441657095389025</v>
      </c>
      <c r="J3678" t="n">
        <v>0.4014474538205569</v>
      </c>
      <c r="K3678" t="n">
        <v>0.0641518954073579</v>
      </c>
      <c r="L3678" t="b">
        <v>0</v>
      </c>
      <c r="M3678" t="b">
        <v>0</v>
      </c>
      <c r="N3678" t="inlineStr">
        <is>
          <t>ref</t>
        </is>
      </c>
      <c r="O3678" t="n">
        <v>-45</v>
      </c>
      <c r="P3678" t="n">
        <v>0.1125</v>
      </c>
      <c r="Q3678" t="n">
        <v>-50</v>
      </c>
      <c r="R3678" t="n">
        <v>0.5303</v>
      </c>
      <c r="S3678">
        <f>IMAGE("https://mitra.stanford.edu/kundaje/oak/projects/neuro-variants/variant_position/credible/roussos_2024/variant_figures/roussos_2024.childhood.GLU/rs2391000_count_position.png",4,220,900)</f>
        <v/>
      </c>
      <c r="T3678">
        <f>IMAGE("https://mitra.stanford.edu/kundaje/oak/projects/neuro-variants/variant_position/credible/roussos_2024/variant_figures/roussos_2024.childhood.GLU/rs2391000_profile_position.png",4,220,900)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-0.0570525186</v>
      </c>
      <c r="G3679" t="n">
        <v>0.1423445014119072</v>
      </c>
      <c r="H3679" t="n">
        <v>0.0101042704599403</v>
      </c>
      <c r="I3679" t="n">
        <v>0.6504931799883927</v>
      </c>
      <c r="J3679" t="n">
        <v>0.115267804712209</v>
      </c>
      <c r="K3679" t="n">
        <v>0.2250256177899487</v>
      </c>
      <c r="L3679" t="b">
        <v>0</v>
      </c>
      <c r="M3679" t="b">
        <v>0</v>
      </c>
      <c r="N3679" t="inlineStr">
        <is>
          <t>ref</t>
        </is>
      </c>
      <c r="O3679" t="n">
        <v>65</v>
      </c>
      <c r="P3679" t="n">
        <v>0.004356</v>
      </c>
      <c r="Q3679" t="n">
        <v>-100</v>
      </c>
      <c r="R3679" t="n">
        <v>0.0801</v>
      </c>
      <c r="S3679">
        <f>IMAGE("https://mitra.stanford.edu/kundaje/oak/projects/neuro-variants/variant_position/credible/roussos_2024/variant_figures/roussos_2024.childhood.GLU/rs113041465_count_position.png",4,220,900)</f>
        <v/>
      </c>
      <c r="T3679">
        <f>IMAGE("https://mitra.stanford.edu/kundaje/oak/projects/neuro-variants/variant_position/credible/roussos_2024/variant_figures/roussos_2024.childhood.GLU/rs113041465_profile_position.png",4,220,900)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-0.079927416</v>
      </c>
      <c r="G3680" t="n">
        <v>0.0751965931278803</v>
      </c>
      <c r="H3680" t="n">
        <v>0.0196465238334931</v>
      </c>
      <c r="I3680" t="n">
        <v>0.1051721857077417</v>
      </c>
      <c r="J3680" t="n">
        <v>0.0133145147166389</v>
      </c>
      <c r="K3680" t="n">
        <v>0.5615103503273398</v>
      </c>
      <c r="L3680" t="b">
        <v>0</v>
      </c>
      <c r="M3680" t="b">
        <v>0</v>
      </c>
      <c r="N3680" t="inlineStr">
        <is>
          <t>ref</t>
        </is>
      </c>
      <c r="O3680" t="n">
        <v>-100</v>
      </c>
      <c r="P3680" t="n">
        <v>0.005875</v>
      </c>
      <c r="Q3680" t="n">
        <v>85</v>
      </c>
      <c r="R3680" t="n">
        <v>0.0824</v>
      </c>
      <c r="S3680">
        <f>IMAGE("https://mitra.stanford.edu/kundaje/oak/projects/neuro-variants/variant_position/credible/roussos_2024/variant_figures/roussos_2024.childhood.GLU/rs150936052_count_position.png",4,220,900)</f>
        <v/>
      </c>
      <c r="T3680">
        <f>IMAGE("https://mitra.stanford.edu/kundaje/oak/projects/neuro-variants/variant_position/credible/roussos_2024/variant_figures/roussos_2024.childhood.GLU/rs150936052_profile_position.png",4,220,900)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-0.09123641220000001</v>
      </c>
      <c r="G3681" t="n">
        <v>0.0557574388225446</v>
      </c>
      <c r="H3681" t="n">
        <v>0.0128215416129111</v>
      </c>
      <c r="I3681" t="n">
        <v>0.3802891197876392</v>
      </c>
      <c r="J3681" t="n">
        <v>0.1068447567144343</v>
      </c>
      <c r="K3681" t="n">
        <v>0.2386505076596665</v>
      </c>
      <c r="L3681" t="b">
        <v>0</v>
      </c>
      <c r="M3681" t="b">
        <v>0</v>
      </c>
      <c r="N3681" t="inlineStr">
        <is>
          <t>ref</t>
        </is>
      </c>
      <c r="O3681" t="n">
        <v>10</v>
      </c>
      <c r="P3681" t="n">
        <v>0.00421</v>
      </c>
      <c r="Q3681" t="n">
        <v>-95</v>
      </c>
      <c r="R3681" t="n">
        <v>0.08057</v>
      </c>
      <c r="S3681">
        <f>IMAGE("https://mitra.stanford.edu/kundaje/oak/projects/neuro-variants/variant_position/credible/roussos_2024/variant_figures/roussos_2024.childhood.GLU/rs115354522_count_position.png",4,220,900)</f>
        <v/>
      </c>
      <c r="T3681">
        <f>IMAGE("https://mitra.stanford.edu/kundaje/oak/projects/neuro-variants/variant_position/credible/roussos_2024/variant_figures/roussos_2024.childhood.GLU/rs115354522_profile_position.png",4,220,900)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0.00456121847</v>
      </c>
      <c r="G3682" t="n">
        <v>0.8070534491405357</v>
      </c>
      <c r="H3682" t="n">
        <v>0.0152067277619182</v>
      </c>
      <c r="I3682" t="n">
        <v>0.237831257322762</v>
      </c>
      <c r="J3682" t="n">
        <v>0.0289964663582885</v>
      </c>
      <c r="K3682" t="n">
        <v>0.4331859796471546</v>
      </c>
      <c r="L3682" t="b">
        <v>0</v>
      </c>
      <c r="M3682" t="b">
        <v>0</v>
      </c>
      <c r="N3682" t="inlineStr">
        <is>
          <t>alt</t>
        </is>
      </c>
      <c r="O3682" t="n">
        <v>65</v>
      </c>
      <c r="P3682" t="n">
        <v>0.00726</v>
      </c>
      <c r="Q3682" t="n">
        <v>90</v>
      </c>
      <c r="R3682" t="n">
        <v>0.06726</v>
      </c>
      <c r="S3682">
        <f>IMAGE("https://mitra.stanford.edu/kundaje/oak/projects/neuro-variants/variant_position/credible/roussos_2024/variant_figures/roussos_2024.childhood.GLU/rs79631004_count_position.png",4,220,900)</f>
        <v/>
      </c>
      <c r="T3682">
        <f>IMAGE("https://mitra.stanford.edu/kundaje/oak/projects/neuro-variants/variant_position/credible/roussos_2024/variant_figures/roussos_2024.childhood.GLU/rs79631004_profile_position.png",4,220,900)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-0.001877531</v>
      </c>
      <c r="G3683" t="n">
        <v>0.5039761964966014</v>
      </c>
      <c r="H3683" t="n">
        <v>0.0269408714159629</v>
      </c>
      <c r="I3683" t="n">
        <v>0.0329545535559648</v>
      </c>
      <c r="J3683" t="n">
        <v>0.0510204291880865</v>
      </c>
      <c r="K3683" t="n">
        <v>0.346945656612194</v>
      </c>
      <c r="L3683" t="b">
        <v>0</v>
      </c>
      <c r="M3683" t="b">
        <v>0</v>
      </c>
      <c r="N3683" t="inlineStr">
        <is>
          <t>ref</t>
        </is>
      </c>
      <c r="O3683" t="n">
        <v>-20</v>
      </c>
      <c r="P3683" t="n">
        <v>0.012726</v>
      </c>
      <c r="Q3683" t="n">
        <v>-95</v>
      </c>
      <c r="R3683" t="n">
        <v>0.0912</v>
      </c>
      <c r="S3683">
        <f>IMAGE("https://mitra.stanford.edu/kundaje/oak/projects/neuro-variants/variant_position/credible/roussos_2024/variant_figures/roussos_2024.childhood.GLU/rs6976562_count_position.png",4,220,900)</f>
        <v/>
      </c>
      <c r="T3683">
        <f>IMAGE("https://mitra.stanford.edu/kundaje/oak/projects/neuro-variants/variant_position/credible/roussos_2024/variant_figures/roussos_2024.childhood.GLU/rs6976562_profile_position.png",4,220,900)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-0.0071866749</v>
      </c>
      <c r="G3684" t="n">
        <v>0.6977526095281673</v>
      </c>
      <c r="H3684" t="n">
        <v>0.0215912718300195</v>
      </c>
      <c r="I3684" t="n">
        <v>0.0747413174974217</v>
      </c>
      <c r="J3684" t="n">
        <v>0.0554235734080583</v>
      </c>
      <c r="K3684" t="n">
        <v>0.3347500373937727</v>
      </c>
      <c r="L3684" t="b">
        <v>0</v>
      </c>
      <c r="M3684" t="b">
        <v>0</v>
      </c>
      <c r="N3684" t="inlineStr">
        <is>
          <t>ref</t>
        </is>
      </c>
      <c r="O3684" t="n">
        <v>-100</v>
      </c>
      <c r="P3684" t="n">
        <v>0.02003</v>
      </c>
      <c r="Q3684" t="n">
        <v>-50</v>
      </c>
      <c r="R3684" t="n">
        <v>0.06610000000000001</v>
      </c>
      <c r="S3684">
        <f>IMAGE("https://mitra.stanford.edu/kundaje/oak/projects/neuro-variants/variant_position/credible/roussos_2024/variant_figures/roussos_2024.childhood.GLU/rs6942815_count_position.png",4,220,900)</f>
        <v/>
      </c>
      <c r="T3684">
        <f>IMAGE("https://mitra.stanford.edu/kundaje/oak/projects/neuro-variants/variant_position/credible/roussos_2024/variant_figures/roussos_2024.childhood.GLU/rs6942815_profile_position.png",4,220,900)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0.07263413220000001</v>
      </c>
      <c r="G3685" t="n">
        <v>0.08981238191408671</v>
      </c>
      <c r="H3685" t="n">
        <v>0.0122614973407002</v>
      </c>
      <c r="I3685" t="n">
        <v>0.4315512605343155</v>
      </c>
      <c r="J3685" t="n">
        <v>0.0977901861600749</v>
      </c>
      <c r="K3685" t="n">
        <v>0.2522795076779543</v>
      </c>
      <c r="L3685" t="b">
        <v>0</v>
      </c>
      <c r="M3685" t="b">
        <v>0</v>
      </c>
      <c r="N3685" t="inlineStr">
        <is>
          <t>alt</t>
        </is>
      </c>
      <c r="O3685" t="n">
        <v>-95</v>
      </c>
      <c r="P3685" t="n">
        <v>0.01717</v>
      </c>
      <c r="Q3685" t="n">
        <v>90</v>
      </c>
      <c r="R3685" t="n">
        <v>0.10284</v>
      </c>
      <c r="S3685">
        <f>IMAGE("https://mitra.stanford.edu/kundaje/oak/projects/neuro-variants/variant_position/credible/roussos_2024/variant_figures/roussos_2024.childhood.GLU/rs10261998_count_position.png",4,220,900)</f>
        <v/>
      </c>
      <c r="T3685">
        <f>IMAGE("https://mitra.stanford.edu/kundaje/oak/projects/neuro-variants/variant_position/credible/roussos_2024/variant_figures/roussos_2024.childhood.GLU/rs10261998_profile_position.png",4,220,900)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0.01352356984</v>
      </c>
      <c r="G3686" t="n">
        <v>0.552184680548264</v>
      </c>
      <c r="H3686" t="n">
        <v>0.0478470139142315</v>
      </c>
      <c r="I3686" t="n">
        <v>0.0032466090632764</v>
      </c>
      <c r="J3686" t="n">
        <v>0.0148248117279816</v>
      </c>
      <c r="K3686" t="n">
        <v>0.5572361575735528</v>
      </c>
      <c r="L3686" t="b">
        <v>1</v>
      </c>
      <c r="M3686" t="b">
        <v>0</v>
      </c>
      <c r="N3686" t="inlineStr">
        <is>
          <t>alt</t>
        </is>
      </c>
      <c r="O3686" t="n">
        <v>-95</v>
      </c>
      <c r="P3686" t="n">
        <v>0.02051</v>
      </c>
      <c r="Q3686" t="n">
        <v>-100</v>
      </c>
      <c r="R3686" t="n">
        <v>0.09174</v>
      </c>
      <c r="S3686">
        <f>IMAGE("https://mitra.stanford.edu/kundaje/oak/projects/neuro-variants/variant_position/credible/roussos_2024/variant_figures/roussos_2024.childhood.GLU/rs28799658_count_position.png",4,220,900)</f>
        <v/>
      </c>
      <c r="T3686">
        <f>IMAGE("https://mitra.stanford.edu/kundaje/oak/projects/neuro-variants/variant_position/credible/roussos_2024/variant_figures/roussos_2024.childhood.GLU/rs28799658_profile_position.png",4,220,900)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-0.03349993256</v>
      </c>
      <c r="G3687" t="n">
        <v>0.3094200896509105</v>
      </c>
      <c r="H3687" t="n">
        <v>0.015401093072568</v>
      </c>
      <c r="I3687" t="n">
        <v>0.2307979317906998</v>
      </c>
      <c r="J3687" t="n">
        <v>0.06737305160353151</v>
      </c>
      <c r="K3687" t="n">
        <v>0.3121405647669252</v>
      </c>
      <c r="L3687" t="b">
        <v>0</v>
      </c>
      <c r="M3687" t="b">
        <v>0</v>
      </c>
      <c r="N3687" t="inlineStr">
        <is>
          <t>ref</t>
        </is>
      </c>
      <c r="O3687" t="n">
        <v>90</v>
      </c>
      <c r="P3687" t="n">
        <v>0.00908</v>
      </c>
      <c r="Q3687" t="n">
        <v>100</v>
      </c>
      <c r="R3687" t="n">
        <v>0.218</v>
      </c>
      <c r="S3687">
        <f>IMAGE("https://mitra.stanford.edu/kundaje/oak/projects/neuro-variants/variant_position/credible/roussos_2024/variant_figures/roussos_2024.childhood.GLU/rs3923570_count_position.png",4,220,900)</f>
        <v/>
      </c>
      <c r="T3687">
        <f>IMAGE("https://mitra.stanford.edu/kundaje/oak/projects/neuro-variants/variant_position/credible/roussos_2024/variant_figures/roussos_2024.childhood.GLU/rs3923570_profile_position.png",4,220,900)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-0.1153692921999999</v>
      </c>
      <c r="G3688" t="n">
        <v>0.0390078745284112</v>
      </c>
      <c r="H3688" t="n">
        <v>0.0342862130681607</v>
      </c>
      <c r="I3688" t="n">
        <v>0.0123905779350583</v>
      </c>
      <c r="J3688" t="n">
        <v>0.0682435843283505</v>
      </c>
      <c r="K3688" t="n">
        <v>0.3067077037372741</v>
      </c>
      <c r="L3688" t="b">
        <v>1</v>
      </c>
      <c r="M3688" t="b">
        <v>0</v>
      </c>
      <c r="N3688" t="inlineStr">
        <is>
          <t>ref</t>
        </is>
      </c>
      <c r="O3688" t="n">
        <v>10</v>
      </c>
      <c r="P3688" t="n">
        <v>0.002075</v>
      </c>
      <c r="Q3688" t="n">
        <v>0</v>
      </c>
      <c r="R3688" t="n">
        <v>0</v>
      </c>
      <c r="S3688">
        <f>IMAGE("https://mitra.stanford.edu/kundaje/oak/projects/neuro-variants/variant_position/credible/roussos_2024/variant_figures/roussos_2024.childhood.GLU/rs6964131_count_position.png",4,220,900)</f>
        <v/>
      </c>
      <c r="T3688">
        <f>IMAGE("https://mitra.stanford.edu/kundaje/oak/projects/neuro-variants/variant_position/credible/roussos_2024/variant_figures/roussos_2024.childhood.GLU/rs6964131_profile_position.png",4,220,900)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0.025592567</v>
      </c>
      <c r="G3689" t="n">
        <v>0.3852873162999799</v>
      </c>
      <c r="H3689" t="n">
        <v>0.0219165833798508</v>
      </c>
      <c r="I3689" t="n">
        <v>0.0714918022278774</v>
      </c>
      <c r="J3689" t="n">
        <v>0.4146290706419277</v>
      </c>
      <c r="K3689" t="n">
        <v>0.060652392380323</v>
      </c>
      <c r="L3689" t="b">
        <v>0</v>
      </c>
      <c r="M3689" t="b">
        <v>0</v>
      </c>
      <c r="N3689" t="inlineStr">
        <is>
          <t>alt</t>
        </is>
      </c>
      <c r="O3689" t="n">
        <v>-100</v>
      </c>
      <c r="P3689" t="n">
        <v>0.01566</v>
      </c>
      <c r="Q3689" t="n">
        <v>-20</v>
      </c>
      <c r="R3689" t="n">
        <v>0.1089</v>
      </c>
      <c r="S3689">
        <f>IMAGE("https://mitra.stanford.edu/kundaje/oak/projects/neuro-variants/variant_position/credible/roussos_2024/variant_figures/roussos_2024.childhood.GLU/rs73356099_count_position.png",4,220,900)</f>
        <v/>
      </c>
      <c r="T3689">
        <f>IMAGE("https://mitra.stanford.edu/kundaje/oak/projects/neuro-variants/variant_position/credible/roussos_2024/variant_figures/roussos_2024.childhood.GLU/rs73356099_profile_position.png",4,220,900)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-0.0494190574</v>
      </c>
      <c r="G3690" t="n">
        <v>0.1799140958625338</v>
      </c>
      <c r="H3690" t="n">
        <v>0.0124792921531893</v>
      </c>
      <c r="I3690" t="n">
        <v>0.395438001316399</v>
      </c>
      <c r="J3690" t="n">
        <v>0.0292354765265228</v>
      </c>
      <c r="K3690" t="n">
        <v>0.4311189809563205</v>
      </c>
      <c r="L3690" t="b">
        <v>0</v>
      </c>
      <c r="M3690" t="b">
        <v>0</v>
      </c>
      <c r="N3690" t="inlineStr">
        <is>
          <t>ref</t>
        </is>
      </c>
      <c r="O3690" t="n">
        <v>90</v>
      </c>
      <c r="P3690" t="n">
        <v>0.002316</v>
      </c>
      <c r="Q3690" t="n">
        <v>95</v>
      </c>
      <c r="R3690" t="n">
        <v>0.05444</v>
      </c>
      <c r="S3690">
        <f>IMAGE("https://mitra.stanford.edu/kundaje/oak/projects/neuro-variants/variant_position/credible/roussos_2024/variant_figures/roussos_2024.childhood.GLU/rs12534549_count_position.png",4,220,900)</f>
        <v/>
      </c>
      <c r="T3690">
        <f>IMAGE("https://mitra.stanford.edu/kundaje/oak/projects/neuro-variants/variant_position/credible/roussos_2024/variant_figures/roussos_2024.childhood.GLU/rs12534549_profile_position.png",4,220,900)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0.1130261938</v>
      </c>
      <c r="G3691" t="n">
        <v>0.0326626062241296</v>
      </c>
      <c r="H3691" t="n">
        <v>0.020887685485858</v>
      </c>
      <c r="I3691" t="n">
        <v>0.0880067741470411</v>
      </c>
      <c r="J3691" t="n">
        <v>0.0683043670866514</v>
      </c>
      <c r="K3691" t="n">
        <v>0.3042319516700317</v>
      </c>
      <c r="L3691" t="b">
        <v>0</v>
      </c>
      <c r="M3691" t="b">
        <v>0</v>
      </c>
      <c r="N3691" t="inlineStr">
        <is>
          <t>alt</t>
        </is>
      </c>
      <c r="O3691" t="n">
        <v>10</v>
      </c>
      <c r="P3691" t="n">
        <v>0.001938</v>
      </c>
      <c r="Q3691" t="n">
        <v>50</v>
      </c>
      <c r="R3691" t="n">
        <v>0.0521</v>
      </c>
      <c r="S3691">
        <f>IMAGE("https://mitra.stanford.edu/kundaje/oak/projects/neuro-variants/variant_position/credible/roussos_2024/variant_figures/roussos_2024.childhood.GLU/rs73179792_count_position.png",4,220,900)</f>
        <v/>
      </c>
      <c r="T3691">
        <f>IMAGE("https://mitra.stanford.edu/kundaje/oak/projects/neuro-variants/variant_position/credible/roussos_2024/variant_figures/roussos_2024.childhood.GLU/rs73179792_profile_position.png",4,220,900)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-0.0326590501399999</v>
      </c>
      <c r="G3692" t="n">
        <v>0.3136877834816953</v>
      </c>
      <c r="H3692" t="n">
        <v>0.0119112974242693</v>
      </c>
      <c r="I3692" t="n">
        <v>0.4576721295673334</v>
      </c>
      <c r="J3692" t="n">
        <v>0.1789774073578043</v>
      </c>
      <c r="K3692" t="n">
        <v>0.1622054952972964</v>
      </c>
      <c r="L3692" t="b">
        <v>0</v>
      </c>
      <c r="M3692" t="b">
        <v>0</v>
      </c>
      <c r="N3692" t="inlineStr">
        <is>
          <t>ref</t>
        </is>
      </c>
      <c r="O3692" t="n">
        <v>65</v>
      </c>
      <c r="P3692" t="n">
        <v>0.02185</v>
      </c>
      <c r="Q3692" t="n">
        <v>-90</v>
      </c>
      <c r="R3692" t="n">
        <v>0.1848</v>
      </c>
      <c r="S3692">
        <f>IMAGE("https://mitra.stanford.edu/kundaje/oak/projects/neuro-variants/variant_position/credible/roussos_2024/variant_figures/roussos_2024.childhood.GLU/rs28678480_count_position.png",4,220,900)</f>
        <v/>
      </c>
      <c r="T3692">
        <f>IMAGE("https://mitra.stanford.edu/kundaje/oak/projects/neuro-variants/variant_position/credible/roussos_2024/variant_figures/roussos_2024.childhood.GLU/rs28678480_profile_position.png",4,220,900)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-0.0111049541</v>
      </c>
      <c r="G3693" t="n">
        <v>0.3645050101603265</v>
      </c>
      <c r="H3693" t="n">
        <v>0.0128992232874268</v>
      </c>
      <c r="I3693" t="n">
        <v>0.3794304793247369</v>
      </c>
      <c r="J3693" t="n">
        <v>0.0060896082087629</v>
      </c>
      <c r="K3693" t="n">
        <v>0.649166548159109</v>
      </c>
      <c r="L3693" t="b">
        <v>0</v>
      </c>
      <c r="M3693" t="b">
        <v>0</v>
      </c>
      <c r="N3693" t="inlineStr">
        <is>
          <t>ref</t>
        </is>
      </c>
      <c r="O3693" t="n">
        <v>-75</v>
      </c>
      <c r="P3693" t="n">
        <v>0.02386</v>
      </c>
      <c r="Q3693" t="n">
        <v>5</v>
      </c>
      <c r="R3693" t="n">
        <v>0.009950000000000001</v>
      </c>
      <c r="S3693">
        <f>IMAGE("https://mitra.stanford.edu/kundaje/oak/projects/neuro-variants/variant_position/credible/roussos_2024/variant_figures/roussos_2024.childhood.GLU/rs12668780_count_position.png",4,220,900)</f>
        <v/>
      </c>
      <c r="T3693">
        <f>IMAGE("https://mitra.stanford.edu/kundaje/oak/projects/neuro-variants/variant_position/credible/roussos_2024/variant_figures/roussos_2024.childhood.GLU/rs12668780_profile_position.png",4,220,900)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0.05516717226</v>
      </c>
      <c r="G3694" t="n">
        <v>0.1464506595683688</v>
      </c>
      <c r="H3694" t="n">
        <v>0.018554335078954</v>
      </c>
      <c r="I3694" t="n">
        <v>0.138055558096768</v>
      </c>
      <c r="J3694" t="n">
        <v>0.2384157334624537</v>
      </c>
      <c r="K3694" t="n">
        <v>0.126110796368376</v>
      </c>
      <c r="L3694" t="b">
        <v>0</v>
      </c>
      <c r="M3694" t="b">
        <v>0</v>
      </c>
      <c r="N3694" t="inlineStr">
        <is>
          <t>alt</t>
        </is>
      </c>
      <c r="O3694" t="n">
        <v>-100</v>
      </c>
      <c r="P3694" t="n">
        <v>0.012924</v>
      </c>
      <c r="Q3694" t="n">
        <v>-5</v>
      </c>
      <c r="R3694" t="n">
        <v>0.008514000000000001</v>
      </c>
      <c r="S3694">
        <f>IMAGE("https://mitra.stanford.edu/kundaje/oak/projects/neuro-variants/variant_position/credible/roussos_2024/variant_figures/roussos_2024.childhood.GLU/rs7385083_count_position.png",4,220,900)</f>
        <v/>
      </c>
      <c r="T3694">
        <f>IMAGE("https://mitra.stanford.edu/kundaje/oak/projects/neuro-variants/variant_position/credible/roussos_2024/variant_figures/roussos_2024.childhood.GLU/rs7385083_profile_position.png",4,220,900)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0.0937102776</v>
      </c>
      <c r="G3695" t="n">
        <v>0.0548711552137549</v>
      </c>
      <c r="H3695" t="n">
        <v>0.0159457998552888</v>
      </c>
      <c r="I3695" t="n">
        <v>0.2146005788878312</v>
      </c>
      <c r="J3695" t="n">
        <v>0.1963489136369724</v>
      </c>
      <c r="K3695" t="n">
        <v>0.1529035436173406</v>
      </c>
      <c r="L3695" t="b">
        <v>0</v>
      </c>
      <c r="M3695" t="b">
        <v>0</v>
      </c>
      <c r="N3695" t="inlineStr">
        <is>
          <t>alt</t>
        </is>
      </c>
      <c r="O3695" t="n">
        <v>10</v>
      </c>
      <c r="P3695" t="n">
        <v>0.001423</v>
      </c>
      <c r="Q3695" t="n">
        <v>75</v>
      </c>
      <c r="R3695" t="n">
        <v>0.1008</v>
      </c>
      <c r="S3695">
        <f>IMAGE("https://mitra.stanford.edu/kundaje/oak/projects/neuro-variants/variant_position/credible/roussos_2024/variant_figures/roussos_2024.childhood.GLU/rs73181662_count_position.png",4,220,900)</f>
        <v/>
      </c>
      <c r="T3695">
        <f>IMAGE("https://mitra.stanford.edu/kundaje/oak/projects/neuro-variants/variant_position/credible/roussos_2024/variant_figures/roussos_2024.childhood.GLU/rs73181662_profile_position.png",4,220,900)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-0.0431226048</v>
      </c>
      <c r="G3696" t="n">
        <v>0.2281410817492016</v>
      </c>
      <c r="H3696" t="n">
        <v>0.012670415650565</v>
      </c>
      <c r="I3696" t="n">
        <v>0.3922344169967963</v>
      </c>
      <c r="J3696" t="n">
        <v>0.2607590633273924</v>
      </c>
      <c r="K3696" t="n">
        <v>0.1142441730503319</v>
      </c>
      <c r="L3696" t="b">
        <v>0</v>
      </c>
      <c r="M3696" t="b">
        <v>0</v>
      </c>
      <c r="N3696" t="inlineStr">
        <is>
          <t>ref</t>
        </is>
      </c>
      <c r="O3696" t="n">
        <v>5</v>
      </c>
      <c r="P3696" t="n">
        <v>0.0005627</v>
      </c>
      <c r="Q3696" t="n">
        <v>-20</v>
      </c>
      <c r="R3696" t="n">
        <v>0.03674</v>
      </c>
      <c r="S3696">
        <f>IMAGE("https://mitra.stanford.edu/kundaje/oak/projects/neuro-variants/variant_position/credible/roussos_2024/variant_figures/roussos_2024.childhood.GLU/rs9654908_count_position.png",4,220,900)</f>
        <v/>
      </c>
      <c r="T3696">
        <f>IMAGE("https://mitra.stanford.edu/kundaje/oak/projects/neuro-variants/variant_position/credible/roussos_2024/variant_figures/roussos_2024.childhood.GLU/rs9654908_profile_position.png",4,220,900)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0.0379973568</v>
      </c>
      <c r="G3697" t="n">
        <v>0.2511837390949239</v>
      </c>
      <c r="H3697" t="n">
        <v>0.0101835638671916</v>
      </c>
      <c r="I3697" t="n">
        <v>0.6404081048651247</v>
      </c>
      <c r="J3697" t="n">
        <v>0.2827881772384023</v>
      </c>
      <c r="K3697" t="n">
        <v>0.1039560655816444</v>
      </c>
      <c r="L3697" t="b">
        <v>0</v>
      </c>
      <c r="M3697" t="b">
        <v>0</v>
      </c>
      <c r="N3697" t="inlineStr">
        <is>
          <t>alt</t>
        </is>
      </c>
      <c r="O3697" t="n">
        <v>100</v>
      </c>
      <c r="P3697" t="n">
        <v>0.01388</v>
      </c>
      <c r="Q3697" t="n">
        <v>-45</v>
      </c>
      <c r="R3697" t="n">
        <v>0.1396</v>
      </c>
      <c r="S3697">
        <f>IMAGE("https://mitra.stanford.edu/kundaje/oak/projects/neuro-variants/variant_position/credible/roussos_2024/variant_figures/roussos_2024.childhood.GLU/rs2527310_count_position.png",4,220,900)</f>
        <v/>
      </c>
      <c r="T3697">
        <f>IMAGE("https://mitra.stanford.edu/kundaje/oak/projects/neuro-variants/variant_position/credible/roussos_2024/variant_figures/roussos_2024.childhood.GLU/rs2527310_profile_position.png",4,220,900)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0.228226216</v>
      </c>
      <c r="G3698" t="n">
        <v>0.0059239308179611</v>
      </c>
      <c r="H3698" t="n">
        <v>0.0221533381205596</v>
      </c>
      <c r="I3698" t="n">
        <v>0.0699590063691744</v>
      </c>
      <c r="J3698" t="n">
        <v>0.0010714248920848</v>
      </c>
      <c r="K3698" t="n">
        <v>0.8262975953269849</v>
      </c>
      <c r="L3698" t="b">
        <v>1</v>
      </c>
      <c r="M3698" t="b">
        <v>1</v>
      </c>
      <c r="N3698" t="inlineStr">
        <is>
          <t>alt</t>
        </is>
      </c>
      <c r="O3698" t="n">
        <v>-15</v>
      </c>
      <c r="P3698" t="n">
        <v>0.001434</v>
      </c>
      <c r="Q3698" t="n">
        <v>35</v>
      </c>
      <c r="R3698" t="n">
        <v>0.0625</v>
      </c>
      <c r="S3698">
        <f>IMAGE("https://mitra.stanford.edu/kundaje/oak/projects/neuro-variants/variant_position/credible/roussos_2024/variant_figures/roussos_2024.childhood.GLU/rs2141885_count_position.png",4,220,900)</f>
        <v/>
      </c>
      <c r="T3698">
        <f>IMAGE("https://mitra.stanford.edu/kundaje/oak/projects/neuro-variants/variant_position/credible/roussos_2024/variant_figures/roussos_2024.childhood.GLU/rs2141885_profile_position.png",4,220,900)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-0.01138312</v>
      </c>
      <c r="G3699" t="n">
        <v>0.6323440279351603</v>
      </c>
      <c r="H3699" t="n">
        <v>0.0295370131042733</v>
      </c>
      <c r="I3699" t="n">
        <v>0.022537578462445</v>
      </c>
      <c r="J3699" t="n">
        <v>0.2021850886501076</v>
      </c>
      <c r="K3699" t="n">
        <v>0.1478259033733383</v>
      </c>
      <c r="L3699" t="b">
        <v>0</v>
      </c>
      <c r="M3699" t="b">
        <v>0</v>
      </c>
      <c r="N3699" t="inlineStr">
        <is>
          <t>ref</t>
        </is>
      </c>
      <c r="O3699" t="n">
        <v>90</v>
      </c>
      <c r="P3699" t="n">
        <v>0.004517</v>
      </c>
      <c r="Q3699" t="n">
        <v>-80</v>
      </c>
      <c r="R3699" t="n">
        <v>0.08606</v>
      </c>
      <c r="S3699">
        <f>IMAGE("https://mitra.stanford.edu/kundaje/oak/projects/neuro-variants/variant_position/credible/roussos_2024/variant_figures/roussos_2024.childhood.GLU/rs7791195_count_position.png",4,220,900)</f>
        <v/>
      </c>
      <c r="T3699">
        <f>IMAGE("https://mitra.stanford.edu/kundaje/oak/projects/neuro-variants/variant_position/credible/roussos_2024/variant_figures/roussos_2024.childhood.GLU/rs7791195_profile_position.png",4,220,900)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0.00723047242</v>
      </c>
      <c r="G3700" t="n">
        <v>0.7289179670194355</v>
      </c>
      <c r="H3700" t="n">
        <v>0.0398738101381618</v>
      </c>
      <c r="I3700" t="n">
        <v>0.0067895194876157</v>
      </c>
      <c r="J3700" t="n">
        <v>0.0064821205971132</v>
      </c>
      <c r="K3700" t="n">
        <v>0.640591283790913</v>
      </c>
      <c r="L3700" t="b">
        <v>0</v>
      </c>
      <c r="M3700" t="b">
        <v>0</v>
      </c>
      <c r="N3700" t="inlineStr">
        <is>
          <t>alt</t>
        </is>
      </c>
      <c r="O3700" t="n">
        <v>-65</v>
      </c>
      <c r="P3700" t="n">
        <v>0.01929</v>
      </c>
      <c r="Q3700" t="n">
        <v>-85</v>
      </c>
      <c r="R3700" t="n">
        <v>0.07965</v>
      </c>
      <c r="S3700">
        <f>IMAGE("https://mitra.stanford.edu/kundaje/oak/projects/neuro-variants/variant_position/credible/roussos_2024/variant_figures/roussos_2024.childhood.GLU/rs7799227_count_position.png",4,220,900)</f>
        <v/>
      </c>
      <c r="T3700">
        <f>IMAGE("https://mitra.stanford.edu/kundaje/oak/projects/neuro-variants/variant_position/credible/roussos_2024/variant_figures/roussos_2024.childhood.GLU/rs7799227_profile_position.png",4,220,900)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-0.00030013124</v>
      </c>
      <c r="G3701" t="n">
        <v>0.9174965795069988</v>
      </c>
      <c r="H3701" t="n">
        <v>0.0203325003276541</v>
      </c>
      <c r="I3701" t="n">
        <v>0.0920964984803128</v>
      </c>
      <c r="J3701" t="n">
        <v>0.1381478772394325</v>
      </c>
      <c r="K3701" t="n">
        <v>0.2014249286454176</v>
      </c>
      <c r="L3701" t="b">
        <v>0</v>
      </c>
      <c r="M3701" t="b">
        <v>0</v>
      </c>
      <c r="N3701" t="inlineStr">
        <is>
          <t>ref</t>
        </is>
      </c>
      <c r="O3701" t="n">
        <v>-100</v>
      </c>
      <c r="P3701" t="n">
        <v>0.010956</v>
      </c>
      <c r="Q3701" t="n">
        <v>-100</v>
      </c>
      <c r="R3701" t="n">
        <v>0.2932</v>
      </c>
      <c r="S3701">
        <f>IMAGE("https://mitra.stanford.edu/kundaje/oak/projects/neuro-variants/variant_position/credible/roussos_2024/variant_figures/roussos_2024.childhood.GLU/rs13231507_count_position.png",4,220,900)</f>
        <v/>
      </c>
      <c r="T3701">
        <f>IMAGE("https://mitra.stanford.edu/kundaje/oak/projects/neuro-variants/variant_position/credible/roussos_2024/variant_figures/roussos_2024.childhood.GLU/rs13231507_profile_position.png",4,220,900)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0.0125807398599999</v>
      </c>
      <c r="G3702" t="n">
        <v>0.5438915201740672</v>
      </c>
      <c r="H3702" t="n">
        <v>0.0192173036188882</v>
      </c>
      <c r="I3702" t="n">
        <v>0.1133515688406267</v>
      </c>
      <c r="J3702" t="n">
        <v>0.08443652322622509</v>
      </c>
      <c r="K3702" t="n">
        <v>0.2699807712096674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0.03754</v>
      </c>
      <c r="Q3702" t="n">
        <v>100</v>
      </c>
      <c r="R3702" t="n">
        <v>0.2017</v>
      </c>
      <c r="S3702">
        <f>IMAGE("https://mitra.stanford.edu/kundaje/oak/projects/neuro-variants/variant_position/credible/roussos_2024/variant_figures/roussos_2024.childhood.GLU/rs7801170_count_position.png",4,220,900)</f>
        <v/>
      </c>
      <c r="T3702">
        <f>IMAGE("https://mitra.stanford.edu/kundaje/oak/projects/neuro-variants/variant_position/credible/roussos_2024/variant_figures/roussos_2024.childhood.GLU/rs7801170_profile_position.png",4,220,900)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-0.005610546502</v>
      </c>
      <c r="G3703" t="n">
        <v>0.7973645289967609</v>
      </c>
      <c r="H3703" t="n">
        <v>0.0220088510231061</v>
      </c>
      <c r="I3703" t="n">
        <v>0.06894796597250021</v>
      </c>
      <c r="J3703" t="n">
        <v>0.3055229892754488</v>
      </c>
      <c r="K3703" t="n">
        <v>0.09459737338141889</v>
      </c>
      <c r="L3703" t="b">
        <v>0</v>
      </c>
      <c r="M3703" t="b">
        <v>0</v>
      </c>
      <c r="N3703" t="inlineStr">
        <is>
          <t>ref</t>
        </is>
      </c>
      <c r="O3703" t="n">
        <v>70</v>
      </c>
      <c r="P3703" t="n">
        <v>0.012985</v>
      </c>
      <c r="Q3703" t="n">
        <v>-75</v>
      </c>
      <c r="R3703" t="n">
        <v>0.08734</v>
      </c>
      <c r="S3703">
        <f>IMAGE("https://mitra.stanford.edu/kundaje/oak/projects/neuro-variants/variant_position/credible/roussos_2024/variant_figures/roussos_2024.childhood.GLU/rs12537428_count_position.png",4,220,900)</f>
        <v/>
      </c>
      <c r="T3703">
        <f>IMAGE("https://mitra.stanford.edu/kundaje/oak/projects/neuro-variants/variant_position/credible/roussos_2024/variant_figures/roussos_2024.childhood.GLU/rs12537428_profile_position.png",4,220,900)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-0.05704309434</v>
      </c>
      <c r="G3704" t="n">
        <v>0.1463419739925826</v>
      </c>
      <c r="H3704" t="n">
        <v>0.0156169074909396</v>
      </c>
      <c r="I3704" t="n">
        <v>0.2208180135722889</v>
      </c>
      <c r="J3704" t="n">
        <v>0.4427756086002452</v>
      </c>
      <c r="K3704" t="n">
        <v>0.0542785114220065</v>
      </c>
      <c r="L3704" t="b">
        <v>0</v>
      </c>
      <c r="M3704" t="b">
        <v>0</v>
      </c>
      <c r="N3704" t="inlineStr">
        <is>
          <t>ref</t>
        </is>
      </c>
      <c r="O3704" t="n">
        <v>-55</v>
      </c>
      <c r="P3704" t="n">
        <v>0.04938</v>
      </c>
      <c r="Q3704" t="n">
        <v>-45</v>
      </c>
      <c r="R3704" t="n">
        <v>0.2324</v>
      </c>
      <c r="S3704">
        <f>IMAGE("https://mitra.stanford.edu/kundaje/oak/projects/neuro-variants/variant_position/credible/roussos_2024/variant_figures/roussos_2024.childhood.GLU/rs10486883_count_position.png",4,220,900)</f>
        <v/>
      </c>
      <c r="T3704">
        <f>IMAGE("https://mitra.stanford.edu/kundaje/oak/projects/neuro-variants/variant_position/credible/roussos_2024/variant_figures/roussos_2024.childhood.GLU/rs10486883_profile_position.png",4,220,900)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-0.018761193</v>
      </c>
      <c r="G3705" t="n">
        <v>0.4067612676084803</v>
      </c>
      <c r="H3705" t="n">
        <v>0.026794680298192</v>
      </c>
      <c r="I3705" t="n">
        <v>0.0331235300524866</v>
      </c>
      <c r="J3705" t="n">
        <v>0.0033739581938248</v>
      </c>
      <c r="K3705" t="n">
        <v>0.7255326513780023</v>
      </c>
      <c r="L3705" t="b">
        <v>0</v>
      </c>
      <c r="M3705" t="b">
        <v>0</v>
      </c>
      <c r="N3705" t="inlineStr">
        <is>
          <t>ref</t>
        </is>
      </c>
      <c r="O3705" t="n">
        <v>-65</v>
      </c>
      <c r="P3705" t="n">
        <v>0.00582</v>
      </c>
      <c r="Q3705" t="n">
        <v>-95</v>
      </c>
      <c r="R3705" t="n">
        <v>0.0829</v>
      </c>
      <c r="S3705">
        <f>IMAGE("https://mitra.stanford.edu/kundaje/oak/projects/neuro-variants/variant_position/credible/roussos_2024/variant_figures/roussos_2024.childhood.GLU/rs12154550_count_position.png",4,220,900)</f>
        <v/>
      </c>
      <c r="T3705">
        <f>IMAGE("https://mitra.stanford.edu/kundaje/oak/projects/neuro-variants/variant_position/credible/roussos_2024/variant_figures/roussos_2024.childhood.GLU/rs12154550_profile_position.png",4,220,900)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-0.110483044</v>
      </c>
      <c r="G3706" t="n">
        <v>0.038201406826447</v>
      </c>
      <c r="H3706" t="n">
        <v>0.0198411546832541</v>
      </c>
      <c r="I3706" t="n">
        <v>0.1027143401004137</v>
      </c>
      <c r="J3706" t="n">
        <v>0.1654681817713537</v>
      </c>
      <c r="K3706" t="n">
        <v>0.1731568345901201</v>
      </c>
      <c r="L3706" t="b">
        <v>0</v>
      </c>
      <c r="M3706" t="b">
        <v>0</v>
      </c>
      <c r="N3706" t="inlineStr">
        <is>
          <t>ref</t>
        </is>
      </c>
      <c r="O3706" t="n">
        <v>-85</v>
      </c>
      <c r="P3706" t="n">
        <v>0.01721</v>
      </c>
      <c r="Q3706" t="n">
        <v>-85</v>
      </c>
      <c r="R3706" t="n">
        <v>0.2996</v>
      </c>
      <c r="S3706">
        <f>IMAGE("https://mitra.stanford.edu/kundaje/oak/projects/neuro-variants/variant_position/credible/roussos_2024/variant_figures/roussos_2024.childhood.GLU/rs4719223_count_position.png",4,220,900)</f>
        <v/>
      </c>
      <c r="T3706">
        <f>IMAGE("https://mitra.stanford.edu/kundaje/oak/projects/neuro-variants/variant_position/credible/roussos_2024/variant_figures/roussos_2024.childhood.GLU/rs4719223_profile_position.png",4,220,900)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-0.0150099296</v>
      </c>
      <c r="G3707" t="n">
        <v>0.5825143466628194</v>
      </c>
      <c r="H3707" t="n">
        <v>0.0502291944684374</v>
      </c>
      <c r="I3707" t="n">
        <v>0.0027300812882889</v>
      </c>
      <c r="J3707" t="n">
        <v>0.0425098128097087</v>
      </c>
      <c r="K3707" t="n">
        <v>0.3816426597251547</v>
      </c>
      <c r="L3707" t="b">
        <v>1</v>
      </c>
      <c r="M3707" t="b">
        <v>0</v>
      </c>
      <c r="N3707" t="inlineStr">
        <is>
          <t>ref</t>
        </is>
      </c>
      <c r="O3707" t="n">
        <v>-100</v>
      </c>
      <c r="P3707" t="n">
        <v>0.01453</v>
      </c>
      <c r="Q3707" t="n">
        <v>70</v>
      </c>
      <c r="R3707" t="n">
        <v>0.1403</v>
      </c>
      <c r="S3707">
        <f>IMAGE("https://mitra.stanford.edu/kundaje/oak/projects/neuro-variants/variant_position/credible/roussos_2024/variant_figures/roussos_2024.childhood.GLU/rs5025436_count_position.png",4,220,900)</f>
        <v/>
      </c>
      <c r="T3707">
        <f>IMAGE("https://mitra.stanford.edu/kundaje/oak/projects/neuro-variants/variant_position/credible/roussos_2024/variant_figures/roussos_2024.childhood.GLU/rs5025436_profile_position.png",4,220,900)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0.0333706074</v>
      </c>
      <c r="G3708" t="n">
        <v>0.1875543916909535</v>
      </c>
      <c r="H3708" t="n">
        <v>0.0153993245458891</v>
      </c>
      <c r="I3708" t="n">
        <v>0.2322000966912231</v>
      </c>
      <c r="J3708" t="n">
        <v>0.2041672247004646</v>
      </c>
      <c r="K3708" t="n">
        <v>0.1448702822671152</v>
      </c>
      <c r="L3708" t="b">
        <v>0</v>
      </c>
      <c r="M3708" t="b">
        <v>0</v>
      </c>
      <c r="N3708" t="inlineStr">
        <is>
          <t>alt</t>
        </is>
      </c>
      <c r="O3708" t="n">
        <v>-100</v>
      </c>
      <c r="P3708" t="n">
        <v>0.0163</v>
      </c>
      <c r="Q3708" t="n">
        <v>-25</v>
      </c>
      <c r="R3708" t="n">
        <v>0.05615</v>
      </c>
      <c r="S3708">
        <f>IMAGE("https://mitra.stanford.edu/kundaje/oak/projects/neuro-variants/variant_position/credible/roussos_2024/variant_figures/roussos_2024.childhood.GLU/rs78928669_count_position.png",4,220,900)</f>
        <v/>
      </c>
      <c r="T3708">
        <f>IMAGE("https://mitra.stanford.edu/kundaje/oak/projects/neuro-variants/variant_position/credible/roussos_2024/variant_figures/roussos_2024.childhood.GLU/rs78928669_profile_position.png",4,220,900)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-0.04254596748</v>
      </c>
      <c r="G3709" t="n">
        <v>0.2406268370559458</v>
      </c>
      <c r="H3709" t="n">
        <v>0.0116977916862254</v>
      </c>
      <c r="I3709" t="n">
        <v>0.4821044958665387</v>
      </c>
      <c r="J3709" t="n">
        <v>0.1782984948540698</v>
      </c>
      <c r="K3709" t="n">
        <v>0.1667174569043027</v>
      </c>
      <c r="L3709" t="b">
        <v>0</v>
      </c>
      <c r="M3709" t="b">
        <v>0</v>
      </c>
      <c r="N3709" t="inlineStr">
        <is>
          <t>ref</t>
        </is>
      </c>
      <c r="O3709" t="n">
        <v>100</v>
      </c>
      <c r="P3709" t="n">
        <v>0.007496</v>
      </c>
      <c r="Q3709" t="n">
        <v>-100</v>
      </c>
      <c r="R3709" t="n">
        <v>0.157</v>
      </c>
      <c r="S3709">
        <f>IMAGE("https://mitra.stanford.edu/kundaje/oak/projects/neuro-variants/variant_position/credible/roussos_2024/variant_figures/roussos_2024.childhood.GLU/rs2944829_count_position.png",4,220,900)</f>
        <v/>
      </c>
      <c r="T3709">
        <f>IMAGE("https://mitra.stanford.edu/kundaje/oak/projects/neuro-variants/variant_position/credible/roussos_2024/variant_figures/roussos_2024.childhood.GLU/rs2944829_profile_position.png",4,220,900)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0.147358156</v>
      </c>
      <c r="G3710" t="n">
        <v>0.0181220971461646</v>
      </c>
      <c r="H3710" t="n">
        <v>0.0152811448739555</v>
      </c>
      <c r="I3710" t="n">
        <v>0.2380433999719804</v>
      </c>
      <c r="J3710" t="n">
        <v>0.0146877929677438</v>
      </c>
      <c r="K3710" t="n">
        <v>0.5426966525843611</v>
      </c>
      <c r="L3710" t="b">
        <v>1</v>
      </c>
      <c r="M3710" t="b">
        <v>0</v>
      </c>
      <c r="N3710" t="inlineStr">
        <is>
          <t>alt</t>
        </is>
      </c>
      <c r="O3710" t="n">
        <v>-100</v>
      </c>
      <c r="P3710" t="n">
        <v>0.006172</v>
      </c>
      <c r="Q3710" t="n">
        <v>-75</v>
      </c>
      <c r="R3710" t="n">
        <v>0.0473</v>
      </c>
      <c r="S3710">
        <f>IMAGE("https://mitra.stanford.edu/kundaje/oak/projects/neuro-variants/variant_position/credible/roussos_2024/variant_figures/roussos_2024.childhood.GLU/rs2944825_count_position.png",4,220,900)</f>
        <v/>
      </c>
      <c r="T3710">
        <f>IMAGE("https://mitra.stanford.edu/kundaje/oak/projects/neuro-variants/variant_position/credible/roussos_2024/variant_figures/roussos_2024.childhood.GLU/rs2944825_profile_position.png",4,220,900)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-0.0663803858</v>
      </c>
      <c r="G3711" t="n">
        <v>0.1099053403260315</v>
      </c>
      <c r="H3711" t="n">
        <v>0.0163258560659662</v>
      </c>
      <c r="I3711" t="n">
        <v>0.192102341884211</v>
      </c>
      <c r="J3711" t="n">
        <v>0.0681797109213223</v>
      </c>
      <c r="K3711" t="n">
        <v>0.3084451915170549</v>
      </c>
      <c r="L3711" t="b">
        <v>0</v>
      </c>
      <c r="M3711" t="b">
        <v>0</v>
      </c>
      <c r="N3711" t="inlineStr">
        <is>
          <t>ref</t>
        </is>
      </c>
      <c r="O3711" t="n">
        <v>-95</v>
      </c>
      <c r="P3711" t="n">
        <v>0.00411</v>
      </c>
      <c r="Q3711" t="n">
        <v>80</v>
      </c>
      <c r="R3711" t="n">
        <v>0.10095</v>
      </c>
      <c r="S3711">
        <f>IMAGE("https://mitra.stanford.edu/kundaje/oak/projects/neuro-variants/variant_position/credible/roussos_2024/variant_figures/roussos_2024.childhood.GLU/rs11768943_count_position.png",4,220,900)</f>
        <v/>
      </c>
      <c r="T3711">
        <f>IMAGE("https://mitra.stanford.edu/kundaje/oak/projects/neuro-variants/variant_position/credible/roussos_2024/variant_figures/roussos_2024.childhood.GLU/rs11768943_profile_position.png",4,220,900)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-0.0751238416</v>
      </c>
      <c r="G3712" t="n">
        <v>0.09102892723600869</v>
      </c>
      <c r="H3712" t="n">
        <v>0.0140815125815728</v>
      </c>
      <c r="I3712" t="n">
        <v>0.293800782699199</v>
      </c>
      <c r="J3712" t="n">
        <v>0.2470293714650704</v>
      </c>
      <c r="K3712" t="n">
        <v>0.1213897944198737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0.11224</v>
      </c>
      <c r="Q3712" t="n">
        <v>100</v>
      </c>
      <c r="R3712" t="n">
        <v>0.326</v>
      </c>
      <c r="S3712">
        <f>IMAGE("https://mitra.stanford.edu/kundaje/oak/projects/neuro-variants/variant_position/credible/roussos_2024/variant_figures/roussos_2024.childhood.GLU/rs2944814_count_position.png",4,220,900)</f>
        <v/>
      </c>
      <c r="T3712">
        <f>IMAGE("https://mitra.stanford.edu/kundaje/oak/projects/neuro-variants/variant_position/credible/roussos_2024/variant_figures/roussos_2024.childhood.GLU/rs2944814_profile_position.png",4,220,900)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0.0222148318</v>
      </c>
      <c r="G3713" t="n">
        <v>0.4379533641367167</v>
      </c>
      <c r="H3713" t="n">
        <v>0.021508467342925</v>
      </c>
      <c r="I3713" t="n">
        <v>0.0753546190680448</v>
      </c>
      <c r="J3713" t="n">
        <v>0.0009498593754828</v>
      </c>
      <c r="K3713" t="n">
        <v>0.8465319028079773</v>
      </c>
      <c r="L3713" t="b">
        <v>0</v>
      </c>
      <c r="M3713" t="b">
        <v>0</v>
      </c>
      <c r="N3713" t="inlineStr">
        <is>
          <t>alt</t>
        </is>
      </c>
      <c r="O3713" t="n">
        <v>-10</v>
      </c>
      <c r="P3713" t="n">
        <v>0.000328</v>
      </c>
      <c r="Q3713" t="n">
        <v>100</v>
      </c>
      <c r="R3713" t="n">
        <v>0.02498</v>
      </c>
      <c r="S3713">
        <f>IMAGE("https://mitra.stanford.edu/kundaje/oak/projects/neuro-variants/variant_position/credible/roussos_2024/variant_figures/roussos_2024.childhood.GLU/rs11764286_count_position.png",4,220,900)</f>
        <v/>
      </c>
      <c r="T3713">
        <f>IMAGE("https://mitra.stanford.edu/kundaje/oak/projects/neuro-variants/variant_position/credible/roussos_2024/variant_figures/roussos_2024.childhood.GLU/rs11764286_profile_position.png",4,220,900)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-0.002437259754</v>
      </c>
      <c r="G3714" t="n">
        <v>0.8770589438961703</v>
      </c>
      <c r="H3714" t="n">
        <v>0.0155602333757759</v>
      </c>
      <c r="I3714" t="n">
        <v>0.2223650002618409</v>
      </c>
      <c r="J3714" t="n">
        <v>0.024032884502457</v>
      </c>
      <c r="K3714" t="n">
        <v>0.4644509001305211</v>
      </c>
      <c r="L3714" t="b">
        <v>0</v>
      </c>
      <c r="M3714" t="b">
        <v>0</v>
      </c>
      <c r="N3714" t="inlineStr">
        <is>
          <t>ref</t>
        </is>
      </c>
      <c r="O3714" t="n">
        <v>95</v>
      </c>
      <c r="P3714" t="n">
        <v>0.01422</v>
      </c>
      <c r="Q3714" t="n">
        <v>95</v>
      </c>
      <c r="R3714" t="n">
        <v>0.258</v>
      </c>
      <c r="S3714">
        <f>IMAGE("https://mitra.stanford.edu/kundaje/oak/projects/neuro-variants/variant_position/credible/roussos_2024/variant_figures/roussos_2024.childhood.GLU/rs2944808_count_position.png",4,220,900)</f>
        <v/>
      </c>
      <c r="T3714">
        <f>IMAGE("https://mitra.stanford.edu/kundaje/oak/projects/neuro-variants/variant_position/credible/roussos_2024/variant_figures/roussos_2024.childhood.GLU/rs2944808_profile_position.png",4,220,900)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0.0014869941799999</v>
      </c>
      <c r="G3715" t="n">
        <v>0.7199117138939685</v>
      </c>
      <c r="H3715" t="n">
        <v>0.025069483828493</v>
      </c>
      <c r="I3715" t="n">
        <v>0.0431287763756235</v>
      </c>
      <c r="J3715" t="n">
        <v>0.024562415651045</v>
      </c>
      <c r="K3715" t="n">
        <v>0.4610758631543376</v>
      </c>
      <c r="L3715" t="b">
        <v>0</v>
      </c>
      <c r="M3715" t="b">
        <v>0</v>
      </c>
      <c r="N3715" t="inlineStr">
        <is>
          <t>alt</t>
        </is>
      </c>
      <c r="O3715" t="n">
        <v>100</v>
      </c>
      <c r="P3715" t="n">
        <v>0.01544</v>
      </c>
      <c r="Q3715" t="n">
        <v>90</v>
      </c>
      <c r="R3715" t="n">
        <v>0.1912</v>
      </c>
      <c r="S3715">
        <f>IMAGE("https://mitra.stanford.edu/kundaje/oak/projects/neuro-variants/variant_position/credible/roussos_2024/variant_figures/roussos_2024.childhood.GLU/rs2968518_count_position.png",4,220,900)</f>
        <v/>
      </c>
      <c r="T3715">
        <f>IMAGE("https://mitra.stanford.edu/kundaje/oak/projects/neuro-variants/variant_position/credible/roussos_2024/variant_figures/roussos_2024.childhood.GLU/rs2968518_profile_position.png",4,220,900)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-0.0008988446999999</v>
      </c>
      <c r="G3716" t="n">
        <v>0.659144047338696</v>
      </c>
      <c r="H3716" t="n">
        <v>0.0139038358646673</v>
      </c>
      <c r="I3716" t="n">
        <v>0.3092924282611341</v>
      </c>
      <c r="J3716" t="n">
        <v>0.0316451523174713</v>
      </c>
      <c r="K3716" t="n">
        <v>0.4224617806956452</v>
      </c>
      <c r="L3716" t="b">
        <v>0</v>
      </c>
      <c r="M3716" t="b">
        <v>0</v>
      </c>
      <c r="N3716" t="inlineStr">
        <is>
          <t>ref</t>
        </is>
      </c>
      <c r="O3716" t="n">
        <v>20</v>
      </c>
      <c r="P3716" t="n">
        <v>0.011444</v>
      </c>
      <c r="Q3716" t="n">
        <v>40</v>
      </c>
      <c r="R3716" t="n">
        <v>0.03784</v>
      </c>
      <c r="S3716">
        <f>IMAGE("https://mitra.stanford.edu/kundaje/oak/projects/neuro-variants/variant_position/credible/roussos_2024/variant_figures/roussos_2024.childhood.GLU/rs2968538_count_position.png",4,220,900)</f>
        <v/>
      </c>
      <c r="T3716">
        <f>IMAGE("https://mitra.stanford.edu/kundaje/oak/projects/neuro-variants/variant_position/credible/roussos_2024/variant_figures/roussos_2024.childhood.GLU/rs2968538_profile_position.png",4,220,900)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-0.00824486948</v>
      </c>
      <c r="G3717" t="n">
        <v>0.7113111033123937</v>
      </c>
      <c r="H3717" t="n">
        <v>0.010987273248073</v>
      </c>
      <c r="I3717" t="n">
        <v>0.552871780314379</v>
      </c>
      <c r="J3717" t="n">
        <v>0.0001524720038736</v>
      </c>
      <c r="K3717" t="n">
        <v>0.9369600958277358</v>
      </c>
      <c r="L3717" t="b">
        <v>0</v>
      </c>
      <c r="M3717" t="b">
        <v>0</v>
      </c>
      <c r="N3717" t="inlineStr">
        <is>
          <t>ref</t>
        </is>
      </c>
      <c r="O3717" t="n">
        <v>-95</v>
      </c>
      <c r="P3717" t="n">
        <v>0.01541</v>
      </c>
      <c r="Q3717" t="n">
        <v>-45</v>
      </c>
      <c r="R3717" t="n">
        <v>0.02783</v>
      </c>
      <c r="S3717">
        <f>IMAGE("https://mitra.stanford.edu/kundaje/oak/projects/neuro-variants/variant_position/credible/roussos_2024/variant_figures/roussos_2024.childhood.GLU/rs6963266_count_position.png",4,220,900)</f>
        <v/>
      </c>
      <c r="T3717">
        <f>IMAGE("https://mitra.stanford.edu/kundaje/oak/projects/neuro-variants/variant_position/credible/roussos_2024/variant_figures/roussos_2024.childhood.GLU/rs6963266_profile_position.png",4,220,900)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-0.02416373712</v>
      </c>
      <c r="G3718" t="n">
        <v>0.3899663340443585</v>
      </c>
      <c r="H3718" t="n">
        <v>0.0102620619624687</v>
      </c>
      <c r="I3718" t="n">
        <v>0.628267339226645</v>
      </c>
      <c r="J3718" t="n">
        <v>0.0131950096325218</v>
      </c>
      <c r="K3718" t="n">
        <v>0.5539734359555517</v>
      </c>
      <c r="L3718" t="b">
        <v>0</v>
      </c>
      <c r="M3718" t="b">
        <v>0</v>
      </c>
      <c r="N3718" t="inlineStr">
        <is>
          <t>ref</t>
        </is>
      </c>
      <c r="O3718" t="n">
        <v>25</v>
      </c>
      <c r="P3718" t="n">
        <v>0.009254</v>
      </c>
      <c r="Q3718" t="n">
        <v>100</v>
      </c>
      <c r="R3718" t="n">
        <v>0.02197</v>
      </c>
      <c r="S3718">
        <f>IMAGE("https://mitra.stanford.edu/kundaje/oak/projects/neuro-variants/variant_position/credible/roussos_2024/variant_figures/roussos_2024.childhood.GLU/rs6467913_count_position.png",4,220,900)</f>
        <v/>
      </c>
      <c r="T3718">
        <f>IMAGE("https://mitra.stanford.edu/kundaje/oak/projects/neuro-variants/variant_position/credible/roussos_2024/variant_figures/roussos_2024.childhood.GLU/rs6467913_profile_position.png",4,220,900)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-0.00153159842</v>
      </c>
      <c r="G3719" t="n">
        <v>0.8391209731810301</v>
      </c>
      <c r="H3719" t="n">
        <v>0.0199510651768764</v>
      </c>
      <c r="I3719" t="n">
        <v>0.09897727782118</v>
      </c>
      <c r="J3719" t="n">
        <v>0.0915810728671947</v>
      </c>
      <c r="K3719" t="n">
        <v>0.2710528614060914</v>
      </c>
      <c r="L3719" t="b">
        <v>0</v>
      </c>
      <c r="M3719" t="b">
        <v>0</v>
      </c>
      <c r="N3719" t="inlineStr">
        <is>
          <t>ref</t>
        </is>
      </c>
      <c r="O3719" t="n">
        <v>100</v>
      </c>
      <c r="P3719" t="n">
        <v>0.00747</v>
      </c>
      <c r="Q3719" t="n">
        <v>-100</v>
      </c>
      <c r="R3719" t="n">
        <v>0.1348</v>
      </c>
      <c r="S3719">
        <f>IMAGE("https://mitra.stanford.edu/kundaje/oak/projects/neuro-variants/variant_position/credible/roussos_2024/variant_figures/roussos_2024.childhood.GLU/rs13235048_count_position.png",4,220,900)</f>
        <v/>
      </c>
      <c r="T3719">
        <f>IMAGE("https://mitra.stanford.edu/kundaje/oak/projects/neuro-variants/variant_position/credible/roussos_2024/variant_figures/roussos_2024.childhood.GLU/rs13235048_profile_position.png",4,220,900)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-0.036971664</v>
      </c>
      <c r="G3720" t="n">
        <v>0.2780998132158858</v>
      </c>
      <c r="H3720" t="n">
        <v>0.027469183444938</v>
      </c>
      <c r="I3720" t="n">
        <v>0.0312143981526501</v>
      </c>
      <c r="J3720" t="n">
        <v>0.1647758764564681</v>
      </c>
      <c r="K3720" t="n">
        <v>0.1747298675544011</v>
      </c>
      <c r="L3720" t="b">
        <v>0</v>
      </c>
      <c r="M3720" t="b">
        <v>0</v>
      </c>
      <c r="N3720" t="inlineStr">
        <is>
          <t>ref</t>
        </is>
      </c>
      <c r="O3720" t="n">
        <v>-75</v>
      </c>
      <c r="P3720" t="n">
        <v>0.00293</v>
      </c>
      <c r="Q3720" t="n">
        <v>-15</v>
      </c>
      <c r="R3720" t="n">
        <v>0.03027</v>
      </c>
      <c r="S3720">
        <f>IMAGE("https://mitra.stanford.edu/kundaje/oak/projects/neuro-variants/variant_position/credible/roussos_2024/variant_figures/roussos_2024.childhood.GLU/rs17284668_count_position.png",4,220,900)</f>
        <v/>
      </c>
      <c r="T3720">
        <f>IMAGE("https://mitra.stanford.edu/kundaje/oak/projects/neuro-variants/variant_position/credible/roussos_2024/variant_figures/roussos_2024.childhood.GLU/rs17284668_profile_position.png",4,220,900)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-0.008451538787400001</v>
      </c>
      <c r="G3721" t="n">
        <v>0.6477806614395465</v>
      </c>
      <c r="H3721" t="n">
        <v>0.0182994776510961</v>
      </c>
      <c r="I3721" t="n">
        <v>0.1367940877303274</v>
      </c>
      <c r="J3721" t="n">
        <v>0.0020058310239319</v>
      </c>
      <c r="K3721" t="n">
        <v>0.7682111450224915</v>
      </c>
      <c r="L3721" t="b">
        <v>0</v>
      </c>
      <c r="M3721" t="b">
        <v>0</v>
      </c>
      <c r="N3721" t="inlineStr">
        <is>
          <t>ref</t>
        </is>
      </c>
      <c r="O3721" t="n">
        <v>25</v>
      </c>
      <c r="P3721" t="n">
        <v>0.006256</v>
      </c>
      <c r="Q3721" t="n">
        <v>50</v>
      </c>
      <c r="R3721" t="n">
        <v>0.0536</v>
      </c>
      <c r="S3721">
        <f>IMAGE("https://mitra.stanford.edu/kundaje/oak/projects/neuro-variants/variant_position/credible/roussos_2024/variant_figures/roussos_2024.childhood.GLU/rs2189246_count_position.png",4,220,900)</f>
        <v/>
      </c>
      <c r="T3721">
        <f>IMAGE("https://mitra.stanford.edu/kundaje/oak/projects/neuro-variants/variant_position/credible/roussos_2024/variant_figures/roussos_2024.childhood.GLU/rs2189246_profile_position.png",4,220,900)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-0.0109975598999999</v>
      </c>
      <c r="G3722" t="n">
        <v>0.5815465773695543</v>
      </c>
      <c r="H3722" t="n">
        <v>0.0142388311623147</v>
      </c>
      <c r="I3722" t="n">
        <v>0.2920491985936628</v>
      </c>
      <c r="J3722" t="n">
        <v>0.2034048646810965</v>
      </c>
      <c r="K3722" t="n">
        <v>0.1458364658672025</v>
      </c>
      <c r="L3722" t="b">
        <v>0</v>
      </c>
      <c r="M3722" t="b">
        <v>0</v>
      </c>
      <c r="N3722" t="inlineStr">
        <is>
          <t>ref</t>
        </is>
      </c>
      <c r="O3722" t="n">
        <v>-15</v>
      </c>
      <c r="P3722" t="n">
        <v>0.001678</v>
      </c>
      <c r="Q3722" t="n">
        <v>-100</v>
      </c>
      <c r="R3722" t="n">
        <v>0.05426</v>
      </c>
      <c r="S3722">
        <f>IMAGE("https://mitra.stanford.edu/kundaje/oak/projects/neuro-variants/variant_position/credible/roussos_2024/variant_figures/roussos_2024.childhood.GLU/rs2189247_count_position.png",4,220,900)</f>
        <v/>
      </c>
      <c r="T3722">
        <f>IMAGE("https://mitra.stanford.edu/kundaje/oak/projects/neuro-variants/variant_position/credible/roussos_2024/variant_figures/roussos_2024.childhood.GLU/rs2189247_profile_position.png",4,220,900)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-0.0027278912599999</v>
      </c>
      <c r="G3723" t="n">
        <v>0.60345108861843</v>
      </c>
      <c r="H3723" t="n">
        <v>0.0206845380622007</v>
      </c>
      <c r="I3723" t="n">
        <v>0.0874520248667276</v>
      </c>
      <c r="J3723" t="n">
        <v>0.0325445310970772</v>
      </c>
      <c r="K3723" t="n">
        <v>0.4156443968795656</v>
      </c>
      <c r="L3723" t="b">
        <v>0</v>
      </c>
      <c r="M3723" t="b">
        <v>0</v>
      </c>
      <c r="N3723" t="inlineStr">
        <is>
          <t>ref</t>
        </is>
      </c>
      <c r="O3723" t="n">
        <v>30</v>
      </c>
      <c r="P3723" t="n">
        <v>0.000164</v>
      </c>
      <c r="Q3723" t="n">
        <v>85</v>
      </c>
      <c r="R3723" t="n">
        <v>0.03015</v>
      </c>
      <c r="S3723">
        <f>IMAGE("https://mitra.stanford.edu/kundaje/oak/projects/neuro-variants/variant_position/credible/roussos_2024/variant_figures/roussos_2024.childhood.GLU/rs2715148_count_position.png",4,220,900)</f>
        <v/>
      </c>
      <c r="T3723">
        <f>IMAGE("https://mitra.stanford.edu/kundaje/oak/projects/neuro-variants/variant_position/credible/roussos_2024/variant_figures/roussos_2024.childhood.GLU/rs2715148_profile_position.png",4,220,900)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-0.00224599516</v>
      </c>
      <c r="G3724" t="n">
        <v>0.686426575077181</v>
      </c>
      <c r="H3724" t="n">
        <v>0.0247842105272763</v>
      </c>
      <c r="I3724" t="n">
        <v>0.0458949779624524</v>
      </c>
      <c r="J3724" t="n">
        <v>0.0017153100435781</v>
      </c>
      <c r="K3724" t="n">
        <v>0.7798515325224359</v>
      </c>
      <c r="L3724" t="b">
        <v>0</v>
      </c>
      <c r="M3724" t="b">
        <v>0</v>
      </c>
      <c r="N3724" t="inlineStr">
        <is>
          <t>ref</t>
        </is>
      </c>
      <c r="O3724" t="n">
        <v>-75</v>
      </c>
      <c r="P3724" t="n">
        <v>0.00598</v>
      </c>
      <c r="Q3724" t="n">
        <v>100</v>
      </c>
      <c r="R3724" t="n">
        <v>0.10425</v>
      </c>
      <c r="S3724">
        <f>IMAGE("https://mitra.stanford.edu/kundaje/oak/projects/neuro-variants/variant_position/credible/roussos_2024/variant_figures/roussos_2024.childhood.GLU/rs2522839_count_position.png",4,220,900)</f>
        <v/>
      </c>
      <c r="T3724">
        <f>IMAGE("https://mitra.stanford.edu/kundaje/oak/projects/neuro-variants/variant_position/credible/roussos_2024/variant_figures/roussos_2024.childhood.GLU/rs2522839_profile_position.png",4,220,900)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0.00070243538</v>
      </c>
      <c r="G3725" t="n">
        <v>0.7825610148986488</v>
      </c>
      <c r="H3725" t="n">
        <v>0.0249897009737423</v>
      </c>
      <c r="I3725" t="n">
        <v>0.0436177552963784</v>
      </c>
      <c r="J3725" t="n">
        <v>0.0014546653342536</v>
      </c>
      <c r="K3725" t="n">
        <v>0.8085217137888048</v>
      </c>
      <c r="L3725" t="b">
        <v>0</v>
      </c>
      <c r="M3725" t="b">
        <v>0</v>
      </c>
      <c r="N3725" t="inlineStr">
        <is>
          <t>alt</t>
        </is>
      </c>
      <c r="O3725" t="n">
        <v>-90</v>
      </c>
      <c r="P3725" t="n">
        <v>0.01498</v>
      </c>
      <c r="Q3725" t="n">
        <v>40</v>
      </c>
      <c r="R3725" t="n">
        <v>0.02106</v>
      </c>
      <c r="S3725">
        <f>IMAGE("https://mitra.stanford.edu/kundaje/oak/projects/neuro-variants/variant_position/credible/roussos_2024/variant_figures/roussos_2024.childhood.GLU/rs2107069_count_position.png",4,220,900)</f>
        <v/>
      </c>
      <c r="T3725">
        <f>IMAGE("https://mitra.stanford.edu/kundaje/oak/projects/neuro-variants/variant_position/credible/roussos_2024/variant_figures/roussos_2024.childhood.GLU/rs2107069_profile_position.png",4,220,900)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0.07685148679999999</v>
      </c>
      <c r="G3726" t="n">
        <v>0.0977090807148036</v>
      </c>
      <c r="H3726" t="n">
        <v>0.0126137078554847</v>
      </c>
      <c r="I3726" t="n">
        <v>0.386096557793101</v>
      </c>
      <c r="J3726" t="n">
        <v>0.0693623991675852</v>
      </c>
      <c r="K3726" t="n">
        <v>0.3183280127106719</v>
      </c>
      <c r="L3726" t="b">
        <v>0</v>
      </c>
      <c r="M3726" t="b">
        <v>0</v>
      </c>
      <c r="N3726" t="inlineStr">
        <is>
          <t>alt</t>
        </is>
      </c>
      <c r="O3726" t="n">
        <v>60</v>
      </c>
      <c r="P3726" t="n">
        <v>0.00654</v>
      </c>
      <c r="Q3726" t="n">
        <v>95</v>
      </c>
      <c r="R3726" t="n">
        <v>0.0467</v>
      </c>
      <c r="S3726">
        <f>IMAGE("https://mitra.stanford.edu/kundaje/oak/projects/neuro-variants/variant_position/credible/roussos_2024/variant_figures/roussos_2024.childhood.GLU/rs1986742_count_position.png",4,220,900)</f>
        <v/>
      </c>
      <c r="T3726">
        <f>IMAGE("https://mitra.stanford.edu/kundaje/oak/projects/neuro-variants/variant_position/credible/roussos_2024/variant_figures/roussos_2024.childhood.GLU/rs1986742_profile_position.png",4,220,900)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-0.0205536042</v>
      </c>
      <c r="G3727" t="n">
        <v>0.4869583493854769</v>
      </c>
      <c r="H3727" t="n">
        <v>0.0315097986830233</v>
      </c>
      <c r="I3727" t="n">
        <v>0.0174205789154939</v>
      </c>
      <c r="J3727" t="n">
        <v>0.0061812974543355</v>
      </c>
      <c r="K3727" t="n">
        <v>0.6673865895137332</v>
      </c>
      <c r="L3727" t="b">
        <v>0</v>
      </c>
      <c r="M3727" t="b">
        <v>0</v>
      </c>
      <c r="N3727" t="inlineStr">
        <is>
          <t>ref</t>
        </is>
      </c>
      <c r="O3727" t="n">
        <v>-100</v>
      </c>
      <c r="P3727" t="n">
        <v>0.03137</v>
      </c>
      <c r="Q3727" t="n">
        <v>-10</v>
      </c>
      <c r="R3727" t="n">
        <v>0.01617</v>
      </c>
      <c r="S3727">
        <f>IMAGE("https://mitra.stanford.edu/kundaje/oak/projects/neuro-variants/variant_position/credible/roussos_2024/variant_figures/roussos_2024.childhood.GLU/rs11761974_count_position.png",4,220,900)</f>
        <v/>
      </c>
      <c r="T3727">
        <f>IMAGE("https://mitra.stanford.edu/kundaje/oak/projects/neuro-variants/variant_position/credible/roussos_2024/variant_figures/roussos_2024.childhood.GLU/rs11761974_profile_position.png",4,220,900)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0.0611707254</v>
      </c>
      <c r="G3728" t="n">
        <v>0.125677940293767</v>
      </c>
      <c r="H3728" t="n">
        <v>0.0254628403422121</v>
      </c>
      <c r="I3728" t="n">
        <v>0.0420961055125986</v>
      </c>
      <c r="J3728" t="n">
        <v>0.0117970061915995</v>
      </c>
      <c r="K3728" t="n">
        <v>0.5679508983565623</v>
      </c>
      <c r="L3728" t="b">
        <v>0</v>
      </c>
      <c r="M3728" t="b">
        <v>0</v>
      </c>
      <c r="N3728" t="inlineStr">
        <is>
          <t>alt</t>
        </is>
      </c>
      <c r="O3728" t="n">
        <v>-80</v>
      </c>
      <c r="P3728" t="n">
        <v>9.92e-05</v>
      </c>
      <c r="Q3728" t="n">
        <v>-80</v>
      </c>
      <c r="R3728" t="n">
        <v>0.06859999999999999</v>
      </c>
      <c r="S3728">
        <f>IMAGE("https://mitra.stanford.edu/kundaje/oak/projects/neuro-variants/variant_position/credible/roussos_2024/variant_figures/roussos_2024.childhood.GLU/rs62458571_count_position.png",4,220,900)</f>
        <v/>
      </c>
      <c r="T3728">
        <f>IMAGE("https://mitra.stanford.edu/kundaje/oak/projects/neuro-variants/variant_position/credible/roussos_2024/variant_figures/roussos_2024.childhood.GLU/rs62458571_profile_position.png",4,220,900)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0.0014999302</v>
      </c>
      <c r="G3729" t="n">
        <v>0.5927252110344906</v>
      </c>
      <c r="H3729" t="n">
        <v>0.0210648150732399</v>
      </c>
      <c r="I3729" t="n">
        <v>0.0850330534472841</v>
      </c>
      <c r="J3729" t="n">
        <v>0.0032163351087392</v>
      </c>
      <c r="K3729" t="n">
        <v>0.7284089998046337</v>
      </c>
      <c r="L3729" t="b">
        <v>0</v>
      </c>
      <c r="M3729" t="b">
        <v>0</v>
      </c>
      <c r="N3729" t="inlineStr">
        <is>
          <t>alt</t>
        </is>
      </c>
      <c r="O3729" t="n">
        <v>-35</v>
      </c>
      <c r="P3729" t="n">
        <v>0.005188</v>
      </c>
      <c r="Q3729" t="n">
        <v>-70</v>
      </c>
      <c r="R3729" t="n">
        <v>0.03088</v>
      </c>
      <c r="S3729">
        <f>IMAGE("https://mitra.stanford.edu/kundaje/oak/projects/neuro-variants/variant_position/credible/roussos_2024/variant_figures/roussos_2024.childhood.GLU/rs13244678_count_position.png",4,220,900)</f>
        <v/>
      </c>
      <c r="T3729">
        <f>IMAGE("https://mitra.stanford.edu/kundaje/oak/projects/neuro-variants/variant_position/credible/roussos_2024/variant_figures/roussos_2024.childhood.GLU/rs13244678_profile_position.png",4,220,900)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-0.06920931399999999</v>
      </c>
      <c r="G3730" t="n">
        <v>0.1026092551159953</v>
      </c>
      <c r="H3730" t="n">
        <v>0.0156267939743909</v>
      </c>
      <c r="I3730" t="n">
        <v>0.223025700044798</v>
      </c>
      <c r="J3730" t="n">
        <v>0.0652745011177845</v>
      </c>
      <c r="K3730" t="n">
        <v>0.3135920337723184</v>
      </c>
      <c r="L3730" t="b">
        <v>0</v>
      </c>
      <c r="M3730" t="b">
        <v>0</v>
      </c>
      <c r="N3730" t="inlineStr">
        <is>
          <t>ref</t>
        </is>
      </c>
      <c r="O3730" t="n">
        <v>40</v>
      </c>
      <c r="P3730" t="n">
        <v>0.007126</v>
      </c>
      <c r="Q3730" t="n">
        <v>100</v>
      </c>
      <c r="R3730" t="n">
        <v>0.09569999999999999</v>
      </c>
      <c r="S3730">
        <f>IMAGE("https://mitra.stanford.edu/kundaje/oak/projects/neuro-variants/variant_position/credible/roussos_2024/variant_figures/roussos_2024.childhood.GLU/rs13231757_count_position.png",4,220,900)</f>
        <v/>
      </c>
      <c r="T3730">
        <f>IMAGE("https://mitra.stanford.edu/kundaje/oak/projects/neuro-variants/variant_position/credible/roussos_2024/variant_figures/roussos_2024.childhood.GLU/rs13231757_profile_position.png",4,220,900)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-0.03006847888</v>
      </c>
      <c r="G3731" t="n">
        <v>0.3657833765925981</v>
      </c>
      <c r="H3731" t="n">
        <v>0.0208967410055343</v>
      </c>
      <c r="I3731" t="n">
        <v>0.0878869001069479</v>
      </c>
      <c r="J3731" t="n">
        <v>0.0042197657288264</v>
      </c>
      <c r="K3731" t="n">
        <v>0.6965395801513679</v>
      </c>
      <c r="L3731" t="b">
        <v>0</v>
      </c>
      <c r="M3731" t="b">
        <v>0</v>
      </c>
      <c r="N3731" t="inlineStr">
        <is>
          <t>ref</t>
        </is>
      </c>
      <c r="O3731" t="n">
        <v>100</v>
      </c>
      <c r="P3731" t="n">
        <v>0.01768</v>
      </c>
      <c r="Q3731" t="n">
        <v>-100</v>
      </c>
      <c r="R3731" t="n">
        <v>0.16</v>
      </c>
      <c r="S3731">
        <f>IMAGE("https://mitra.stanford.edu/kundaje/oak/projects/neuro-variants/variant_position/credible/roussos_2024/variant_figures/roussos_2024.childhood.GLU/rs117773249_count_position.png",4,220,900)</f>
        <v/>
      </c>
      <c r="T3731">
        <f>IMAGE("https://mitra.stanford.edu/kundaje/oak/projects/neuro-variants/variant_position/credible/roussos_2024/variant_figures/roussos_2024.childhood.GLU/rs117773249_profile_position.png",4,220,900)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0.09000911119999989</v>
      </c>
      <c r="G3732" t="n">
        <v>0.0605672712187411</v>
      </c>
      <c r="H3732" t="n">
        <v>0.0187862028983385</v>
      </c>
      <c r="I3732" t="n">
        <v>0.1306062685586588</v>
      </c>
      <c r="J3732" t="n">
        <v>0.0113962520733101</v>
      </c>
      <c r="K3732" t="n">
        <v>0.5778491371593542</v>
      </c>
      <c r="L3732" t="b">
        <v>0</v>
      </c>
      <c r="M3732" t="b">
        <v>0</v>
      </c>
      <c r="N3732" t="inlineStr">
        <is>
          <t>alt</t>
        </is>
      </c>
      <c r="O3732" t="n">
        <v>-60</v>
      </c>
      <c r="P3732" t="n">
        <v>0.003662</v>
      </c>
      <c r="Q3732" t="n">
        <v>-70</v>
      </c>
      <c r="R3732" t="n">
        <v>0.1564</v>
      </c>
      <c r="S3732">
        <f>IMAGE("https://mitra.stanford.edu/kundaje/oak/projects/neuro-variants/variant_position/credible/roussos_2024/variant_figures/roussos_2024.childhood.GLU/rs1858923_count_position.png",4,220,900)</f>
        <v/>
      </c>
      <c r="T3732">
        <f>IMAGE("https://mitra.stanford.edu/kundaje/oak/projects/neuro-variants/variant_position/credible/roussos_2024/variant_figures/roussos_2024.childhood.GLU/rs1858923_profile_position.png",4,220,900)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0.1184306552</v>
      </c>
      <c r="G3733" t="n">
        <v>0.0302629740730089</v>
      </c>
      <c r="H3733" t="n">
        <v>0.0143908487384364</v>
      </c>
      <c r="I3733" t="n">
        <v>0.27900748744157</v>
      </c>
      <c r="J3733" t="n">
        <v>0.2303264755272131</v>
      </c>
      <c r="K3733" t="n">
        <v>0.1322667207461513</v>
      </c>
      <c r="L3733" t="b">
        <v>0</v>
      </c>
      <c r="M3733" t="b">
        <v>0</v>
      </c>
      <c r="N3733" t="inlineStr">
        <is>
          <t>alt</t>
        </is>
      </c>
      <c r="O3733" t="n">
        <v>100</v>
      </c>
      <c r="P3733" t="n">
        <v>0.007515</v>
      </c>
      <c r="Q3733" t="n">
        <v>100</v>
      </c>
      <c r="R3733" t="n">
        <v>0.3677</v>
      </c>
      <c r="S3733">
        <f>IMAGE("https://mitra.stanford.edu/kundaje/oak/projects/neuro-variants/variant_position/credible/roussos_2024/variant_figures/roussos_2024.childhood.GLU/rs28656907_count_position.png",4,220,900)</f>
        <v/>
      </c>
      <c r="T3733">
        <f>IMAGE("https://mitra.stanford.edu/kundaje/oak/projects/neuro-variants/variant_position/credible/roussos_2024/variant_figures/roussos_2024.childhood.GLU/rs28656907_profile_position.png",4,220,900)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0.0887109523999999</v>
      </c>
      <c r="G3734" t="n">
        <v>0.06883273815889659</v>
      </c>
      <c r="H3734" t="n">
        <v>0.0290158672093342</v>
      </c>
      <c r="I3734" t="n">
        <v>0.0253590180941795</v>
      </c>
      <c r="J3734" t="n">
        <v>0.0088134999536402</v>
      </c>
      <c r="K3734" t="n">
        <v>0.6062783089227448</v>
      </c>
      <c r="L3734" t="b">
        <v>0</v>
      </c>
      <c r="M3734" t="b">
        <v>0</v>
      </c>
      <c r="N3734" t="inlineStr">
        <is>
          <t>alt</t>
        </is>
      </c>
      <c r="O3734" t="n">
        <v>60</v>
      </c>
      <c r="P3734" t="n">
        <v>0.000683</v>
      </c>
      <c r="Q3734" t="n">
        <v>5</v>
      </c>
      <c r="R3734" t="n">
        <v>0.01721</v>
      </c>
      <c r="S3734">
        <f>IMAGE("https://mitra.stanford.edu/kundaje/oak/projects/neuro-variants/variant_position/credible/roussos_2024/variant_figures/roussos_2024.childhood.GLU/rs12704370_count_position.png",4,220,900)</f>
        <v/>
      </c>
      <c r="T3734">
        <f>IMAGE("https://mitra.stanford.edu/kundaje/oak/projects/neuro-variants/variant_position/credible/roussos_2024/variant_figures/roussos_2024.childhood.GLU/rs12704370_profile_position.png",4,220,900)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0.0118897066</v>
      </c>
      <c r="G3735" t="n">
        <v>0.5961244360296318</v>
      </c>
      <c r="H3735" t="n">
        <v>0.0241590361589728</v>
      </c>
      <c r="I3735" t="n">
        <v>0.050585287176407</v>
      </c>
      <c r="J3735" t="n">
        <v>0.0075257296506536</v>
      </c>
      <c r="K3735" t="n">
        <v>0.6240512848059835</v>
      </c>
      <c r="L3735" t="b">
        <v>0</v>
      </c>
      <c r="M3735" t="b">
        <v>0</v>
      </c>
      <c r="N3735" t="inlineStr">
        <is>
          <t>alt</t>
        </is>
      </c>
      <c r="O3735" t="n">
        <v>90</v>
      </c>
      <c r="P3735" t="n">
        <v>0.07117</v>
      </c>
      <c r="Q3735" t="n">
        <v>100</v>
      </c>
      <c r="R3735" t="n">
        <v>0.06519999999999999</v>
      </c>
      <c r="S3735">
        <f>IMAGE("https://mitra.stanford.edu/kundaje/oak/projects/neuro-variants/variant_position/credible/roussos_2024/variant_figures/roussos_2024.childhood.GLU/rs77491588_count_position.png",4,220,900)</f>
        <v/>
      </c>
      <c r="T3735">
        <f>IMAGE("https://mitra.stanford.edu/kundaje/oak/projects/neuro-variants/variant_position/credible/roussos_2024/variant_figures/roussos_2024.childhood.GLU/rs77491588_profile_position.png",4,220,900)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0.0376108936</v>
      </c>
      <c r="G3736" t="n">
        <v>0.274485542089346</v>
      </c>
      <c r="H3736" t="n">
        <v>0.0261259256390814</v>
      </c>
      <c r="I3736" t="n">
        <v>0.0370747177804497</v>
      </c>
      <c r="J3736" t="n">
        <v>0.0044422924371825</v>
      </c>
      <c r="K3736" t="n">
        <v>0.6873224598995795</v>
      </c>
      <c r="L3736" t="b">
        <v>0</v>
      </c>
      <c r="M3736" t="b">
        <v>0</v>
      </c>
      <c r="N3736" t="inlineStr">
        <is>
          <t>alt</t>
        </is>
      </c>
      <c r="O3736" t="n">
        <v>85</v>
      </c>
      <c r="P3736" t="n">
        <v>0.00432</v>
      </c>
      <c r="Q3736" t="n">
        <v>-75</v>
      </c>
      <c r="R3736" t="n">
        <v>0.0514</v>
      </c>
      <c r="S3736">
        <f>IMAGE("https://mitra.stanford.edu/kundaje/oak/projects/neuro-variants/variant_position/credible/roussos_2024/variant_figures/roussos_2024.childhood.GLU/rs79065506_count_position.png",4,220,900)</f>
        <v/>
      </c>
      <c r="T3736">
        <f>IMAGE("https://mitra.stanford.edu/kundaje/oak/projects/neuro-variants/variant_position/credible/roussos_2024/variant_figures/roussos_2024.childhood.GLU/rs79065506_profile_position.png",4,220,900)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0.0210214922</v>
      </c>
      <c r="G3737" t="n">
        <v>0.4384441799432021</v>
      </c>
      <c r="H3737" t="n">
        <v>0.030916175194273</v>
      </c>
      <c r="I3737" t="n">
        <v>0.0185593495346787</v>
      </c>
      <c r="J3737" t="n">
        <v>0.0042568535135524</v>
      </c>
      <c r="K3737" t="n">
        <v>0.695518414001714</v>
      </c>
      <c r="L3737" t="b">
        <v>0</v>
      </c>
      <c r="M3737" t="b">
        <v>0</v>
      </c>
      <c r="N3737" t="inlineStr">
        <is>
          <t>alt</t>
        </is>
      </c>
      <c r="O3737" t="n">
        <v>-55</v>
      </c>
      <c r="P3737" t="n">
        <v>0.002287</v>
      </c>
      <c r="Q3737" t="n">
        <v>80</v>
      </c>
      <c r="R3737" t="n">
        <v>0.0504</v>
      </c>
      <c r="S3737">
        <f>IMAGE("https://mitra.stanford.edu/kundaje/oak/projects/neuro-variants/variant_position/credible/roussos_2024/variant_figures/roussos_2024.childhood.GLU/rs78742611_count_position.png",4,220,900)</f>
        <v/>
      </c>
      <c r="T3737">
        <f>IMAGE("https://mitra.stanford.edu/kundaje/oak/projects/neuro-variants/variant_position/credible/roussos_2024/variant_figures/roussos_2024.childhood.GLU/rs78742611_profile_position.png",4,220,900)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0.018053916</v>
      </c>
      <c r="G3738" t="n">
        <v>0.3537557497771091</v>
      </c>
      <c r="H3738" t="n">
        <v>0.0317056253067577</v>
      </c>
      <c r="I3738" t="n">
        <v>0.0178588113469555</v>
      </c>
      <c r="J3738" t="n">
        <v>0.022804866741529</v>
      </c>
      <c r="K3738" t="n">
        <v>0.4902700843911481</v>
      </c>
      <c r="L3738" t="b">
        <v>1</v>
      </c>
      <c r="M3738" t="b">
        <v>0</v>
      </c>
      <c r="N3738" t="inlineStr">
        <is>
          <t>alt</t>
        </is>
      </c>
      <c r="O3738" t="n">
        <v>-35</v>
      </c>
      <c r="P3738" t="n">
        <v>0.0005493</v>
      </c>
      <c r="Q3738" t="n">
        <v>0</v>
      </c>
      <c r="R3738" t="n">
        <v>0</v>
      </c>
      <c r="S3738">
        <f>IMAGE("https://mitra.stanford.edu/kundaje/oak/projects/neuro-variants/variant_position/credible/roussos_2024/variant_figures/roussos_2024.childhood.GLU/rs6979891_count_position.png",4,220,900)</f>
        <v/>
      </c>
      <c r="T3738">
        <f>IMAGE("https://mitra.stanford.edu/kundaje/oak/projects/neuro-variants/variant_position/credible/roussos_2024/variant_figures/roussos_2024.childhood.GLU/rs6979891_profile_position.png",4,220,900)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0.06684965899999989</v>
      </c>
      <c r="G3739" t="n">
        <v>0.1044523917093221</v>
      </c>
      <c r="H3739" t="n">
        <v>0.0418024452640557</v>
      </c>
      <c r="I3739" t="n">
        <v>0.0057265187184219</v>
      </c>
      <c r="J3739" t="n">
        <v>0.0062719564836658</v>
      </c>
      <c r="K3739" t="n">
        <v>0.6473294548482351</v>
      </c>
      <c r="L3739" t="b">
        <v>0</v>
      </c>
      <c r="M3739" t="b">
        <v>0</v>
      </c>
      <c r="N3739" t="inlineStr">
        <is>
          <t>alt</t>
        </is>
      </c>
      <c r="O3739" t="n">
        <v>0</v>
      </c>
      <c r="P3739" t="n">
        <v>0</v>
      </c>
      <c r="Q3739" t="n">
        <v>95</v>
      </c>
      <c r="R3739" t="n">
        <v>0.0634</v>
      </c>
      <c r="S3739">
        <f>IMAGE("https://mitra.stanford.edu/kundaje/oak/projects/neuro-variants/variant_position/credible/roussos_2024/variant_figures/roussos_2024.childhood.GLU/rs883176_count_position.png",4,220,900)</f>
        <v/>
      </c>
      <c r="T3739">
        <f>IMAGE("https://mitra.stanford.edu/kundaje/oak/projects/neuro-variants/variant_position/credible/roussos_2024/variant_figures/roussos_2024.childhood.GLU/rs883176_profile_position.png",4,220,900)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-0.0750786449999999</v>
      </c>
      <c r="G3740" t="n">
        <v>0.1046528760735444</v>
      </c>
      <c r="H3740" t="n">
        <v>0.023806519507031</v>
      </c>
      <c r="I3740" t="n">
        <v>0.0531346263233983</v>
      </c>
      <c r="J3740" t="n">
        <v>0.0087990769262467</v>
      </c>
      <c r="K3740" t="n">
        <v>0.6304776951672478</v>
      </c>
      <c r="L3740" t="b">
        <v>0</v>
      </c>
      <c r="M3740" t="b">
        <v>0</v>
      </c>
      <c r="N3740" t="inlineStr">
        <is>
          <t>ref</t>
        </is>
      </c>
      <c r="O3740" t="n">
        <v>5</v>
      </c>
      <c r="P3740" t="n">
        <v>0.0003662</v>
      </c>
      <c r="Q3740" t="n">
        <v>100</v>
      </c>
      <c r="R3740" t="n">
        <v>0.04962</v>
      </c>
      <c r="S3740">
        <f>IMAGE("https://mitra.stanford.edu/kundaje/oak/projects/neuro-variants/variant_position/credible/roussos_2024/variant_figures/roussos_2024.childhood.GLU/rs17166402_count_position.png",4,220,900)</f>
        <v/>
      </c>
      <c r="T3740">
        <f>IMAGE("https://mitra.stanford.edu/kundaje/oak/projects/neuro-variants/variant_position/credible/roussos_2024/variant_figures/roussos_2024.childhood.GLU/rs17166402_profile_position.png",4,220,900)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0.0626741130399999</v>
      </c>
      <c r="G3741" t="n">
        <v>0.1371695634223375</v>
      </c>
      <c r="H3741" t="n">
        <v>0.0233516614673242</v>
      </c>
      <c r="I3741" t="n">
        <v>0.061790845182396</v>
      </c>
      <c r="J3741" t="n">
        <v>0.0112757167729506</v>
      </c>
      <c r="K3741" t="n">
        <v>0.5867637308011123</v>
      </c>
      <c r="L3741" t="b">
        <v>0</v>
      </c>
      <c r="M3741" t="b">
        <v>0</v>
      </c>
      <c r="N3741" t="inlineStr">
        <is>
          <t>alt</t>
        </is>
      </c>
      <c r="O3741" t="n">
        <v>-20</v>
      </c>
      <c r="P3741" t="n">
        <v>0.002533</v>
      </c>
      <c r="Q3741" t="n">
        <v>75</v>
      </c>
      <c r="R3741" t="n">
        <v>0.03876</v>
      </c>
      <c r="S3741">
        <f>IMAGE("https://mitra.stanford.edu/kundaje/oak/projects/neuro-variants/variant_position/credible/roussos_2024/variant_figures/roussos_2024.childhood.GLU/rs17166404_count_position.png",4,220,900)</f>
        <v/>
      </c>
      <c r="T3741">
        <f>IMAGE("https://mitra.stanford.edu/kundaje/oak/projects/neuro-variants/variant_position/credible/roussos_2024/variant_figures/roussos_2024.childhood.GLU/rs17166404_profile_position.png",4,220,900)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0.02390714274</v>
      </c>
      <c r="G3742" t="n">
        <v>0.4089147935490234</v>
      </c>
      <c r="H3742" t="n">
        <v>0.0175227498477674</v>
      </c>
      <c r="I3742" t="n">
        <v>0.1551794623225022</v>
      </c>
      <c r="J3742" t="n">
        <v>0.0286461928358762</v>
      </c>
      <c r="K3742" t="n">
        <v>0.4465480242233911</v>
      </c>
      <c r="L3742" t="b">
        <v>0</v>
      </c>
      <c r="M3742" t="b">
        <v>0</v>
      </c>
      <c r="N3742" t="inlineStr">
        <is>
          <t>alt</t>
        </is>
      </c>
      <c r="O3742" t="n">
        <v>10</v>
      </c>
      <c r="P3742" t="n">
        <v>0.0002837</v>
      </c>
      <c r="Q3742" t="n">
        <v>20</v>
      </c>
      <c r="R3742" t="n">
        <v>0.0432</v>
      </c>
      <c r="S3742">
        <f>IMAGE("https://mitra.stanford.edu/kundaje/oak/projects/neuro-variants/variant_position/credible/roussos_2024/variant_figures/roussos_2024.childhood.GLU/rs17166406_count_position.png",4,220,900)</f>
        <v/>
      </c>
      <c r="T3742">
        <f>IMAGE("https://mitra.stanford.edu/kundaje/oak/projects/neuro-variants/variant_position/credible/roussos_2024/variant_figures/roussos_2024.childhood.GLU/rs17166406_profile_position.png",4,220,900)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0.09517221179999991</v>
      </c>
      <c r="G3743" t="n">
        <v>0.0490959392062297</v>
      </c>
      <c r="H3743" t="n">
        <v>0.0201291474414187</v>
      </c>
      <c r="I3743" t="n">
        <v>0.1001752520961658</v>
      </c>
      <c r="J3743" t="n">
        <v>0.0174353796861961</v>
      </c>
      <c r="K3743" t="n">
        <v>0.5122461263392416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0.02716</v>
      </c>
      <c r="Q3743" t="n">
        <v>-30</v>
      </c>
      <c r="R3743" t="n">
        <v>0.04492</v>
      </c>
      <c r="S3743">
        <f>IMAGE("https://mitra.stanford.edu/kundaje/oak/projects/neuro-variants/variant_position/credible/roussos_2024/variant_figures/roussos_2024.childhood.GLU/rs13241095_count_position.png",4,220,900)</f>
        <v/>
      </c>
      <c r="T3743">
        <f>IMAGE("https://mitra.stanford.edu/kundaje/oak/projects/neuro-variants/variant_position/credible/roussos_2024/variant_figures/roussos_2024.childhood.GLU/rs13241095_profile_position.png",4,220,900)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0.0007376944399999</v>
      </c>
      <c r="G3744" t="n">
        <v>0.7121177471600417</v>
      </c>
      <c r="H3744" t="n">
        <v>0.0201641957561785</v>
      </c>
      <c r="I3744" t="n">
        <v>0.0951018586998648</v>
      </c>
      <c r="J3744" t="n">
        <v>0.0037633799334479</v>
      </c>
      <c r="K3744" t="n">
        <v>0.7039305562513037</v>
      </c>
      <c r="L3744" t="b">
        <v>0</v>
      </c>
      <c r="M3744" t="b">
        <v>0</v>
      </c>
      <c r="N3744" t="inlineStr">
        <is>
          <t>alt</t>
        </is>
      </c>
      <c r="O3744" t="n">
        <v>-100</v>
      </c>
      <c r="P3744" t="n">
        <v>0.0425</v>
      </c>
      <c r="Q3744" t="n">
        <v>-5</v>
      </c>
      <c r="R3744" t="n">
        <v>0.0202</v>
      </c>
      <c r="S3744">
        <f>IMAGE("https://mitra.stanford.edu/kundaje/oak/projects/neuro-variants/variant_position/credible/roussos_2024/variant_figures/roussos_2024.childhood.GLU/rs13241489_count_position.png",4,220,900)</f>
        <v/>
      </c>
      <c r="T3744">
        <f>IMAGE("https://mitra.stanford.edu/kundaje/oak/projects/neuro-variants/variant_position/credible/roussos_2024/variant_figures/roussos_2024.childhood.GLU/rs13241489_profile_position.png",4,220,900)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-0.1004263587999999</v>
      </c>
      <c r="G3745" t="n">
        <v>0.0477788317941886</v>
      </c>
      <c r="H3745" t="n">
        <v>0.0444789922522444</v>
      </c>
      <c r="I3745" t="n">
        <v>0.0044838306954804</v>
      </c>
      <c r="J3745" t="n">
        <v>0.0151122420596082</v>
      </c>
      <c r="K3745" t="n">
        <v>0.5335211835472697</v>
      </c>
      <c r="L3745" t="b">
        <v>1</v>
      </c>
      <c r="M3745" t="b">
        <v>0</v>
      </c>
      <c r="N3745" t="inlineStr">
        <is>
          <t>ref</t>
        </is>
      </c>
      <c r="O3745" t="n">
        <v>0</v>
      </c>
      <c r="P3745" t="n">
        <v>0</v>
      </c>
      <c r="Q3745" t="n">
        <v>75</v>
      </c>
      <c r="R3745" t="n">
        <v>0.0497</v>
      </c>
      <c r="S3745">
        <f>IMAGE("https://mitra.stanford.edu/kundaje/oak/projects/neuro-variants/variant_position/credible/roussos_2024/variant_figures/roussos_2024.childhood.GLU/rs13307062_count_position.png",4,220,900)</f>
        <v/>
      </c>
      <c r="T3745">
        <f>IMAGE("https://mitra.stanford.edu/kundaje/oak/projects/neuro-variants/variant_position/credible/roussos_2024/variant_figures/roussos_2024.childhood.GLU/rs13307062_profile_position.png",4,220,900)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0.0547593856</v>
      </c>
      <c r="G3746" t="n">
        <v>0.1487927026476398</v>
      </c>
      <c r="H3746" t="n">
        <v>0.0092835858695808</v>
      </c>
      <c r="I3746" t="n">
        <v>0.739707846349829</v>
      </c>
      <c r="J3746" t="n">
        <v>0.0015875632295218</v>
      </c>
      <c r="K3746" t="n">
        <v>0.7875704238824142</v>
      </c>
      <c r="L3746" t="b">
        <v>0</v>
      </c>
      <c r="M3746" t="b">
        <v>0</v>
      </c>
      <c r="N3746" t="inlineStr">
        <is>
          <t>alt</t>
        </is>
      </c>
      <c r="O3746" t="n">
        <v>-100</v>
      </c>
      <c r="P3746" t="n">
        <v>0.01976</v>
      </c>
      <c r="Q3746" t="n">
        <v>-85</v>
      </c>
      <c r="R3746" t="n">
        <v>0.06396</v>
      </c>
      <c r="S3746">
        <f>IMAGE("https://mitra.stanford.edu/kundaje/oak/projects/neuro-variants/variant_position/credible/roussos_2024/variant_figures/roussos_2024.childhood.GLU/rs34376444_count_position.png",4,220,900)</f>
        <v/>
      </c>
      <c r="T3746">
        <f>IMAGE("https://mitra.stanford.edu/kundaje/oak/projects/neuro-variants/variant_position/credible/roussos_2024/variant_figures/roussos_2024.childhood.GLU/rs34376444_profile_position.png",4,220,900)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-0.03250178314</v>
      </c>
      <c r="G3747" t="n">
        <v>0.3132795315261352</v>
      </c>
      <c r="H3747" t="n">
        <v>0.008864853353716499</v>
      </c>
      <c r="I3747" t="n">
        <v>0.7729066057750449</v>
      </c>
      <c r="J3747" t="n">
        <v>0.1189765831848104</v>
      </c>
      <c r="K3747" t="n">
        <v>0.227817983499647</v>
      </c>
      <c r="L3747" t="b">
        <v>0</v>
      </c>
      <c r="M3747" t="b">
        <v>0</v>
      </c>
      <c r="N3747" t="inlineStr">
        <is>
          <t>ref</t>
        </is>
      </c>
      <c r="O3747" t="n">
        <v>-95</v>
      </c>
      <c r="P3747" t="n">
        <v>0.00486</v>
      </c>
      <c r="Q3747" t="n">
        <v>70</v>
      </c>
      <c r="R3747" t="n">
        <v>0.00928</v>
      </c>
      <c r="S3747">
        <f>IMAGE("https://mitra.stanford.edu/kundaje/oak/projects/neuro-variants/variant_position/credible/roussos_2024/variant_figures/roussos_2024.childhood.GLU/rs34578239_count_position.png",4,220,900)</f>
        <v/>
      </c>
      <c r="T3747">
        <f>IMAGE("https://mitra.stanford.edu/kundaje/oak/projects/neuro-variants/variant_position/credible/roussos_2024/variant_figures/roussos_2024.childhood.GLU/rs34578239_profile_position.png",4,220,900)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0.0511244253999999</v>
      </c>
      <c r="G3748" t="n">
        <v>0.1649899463390377</v>
      </c>
      <c r="H3748" t="n">
        <v>0.0087401890452638</v>
      </c>
      <c r="I3748" t="n">
        <v>0.7741776860291467</v>
      </c>
      <c r="J3748" t="n">
        <v>0.2822916130095707</v>
      </c>
      <c r="K3748" t="n">
        <v>0.1047682346381512</v>
      </c>
      <c r="L3748" t="b">
        <v>0</v>
      </c>
      <c r="M3748" t="b">
        <v>0</v>
      </c>
      <c r="N3748" t="inlineStr">
        <is>
          <t>alt</t>
        </is>
      </c>
      <c r="O3748" t="n">
        <v>-100</v>
      </c>
      <c r="P3748" t="n">
        <v>0.03375</v>
      </c>
      <c r="Q3748" t="n">
        <v>-90</v>
      </c>
      <c r="R3748" t="n">
        <v>0.09279999999999999</v>
      </c>
      <c r="S3748">
        <f>IMAGE("https://mitra.stanford.edu/kundaje/oak/projects/neuro-variants/variant_position/credible/roussos_2024/variant_figures/roussos_2024.childhood.GLU/rs221786_count_position.png",4,220,900)</f>
        <v/>
      </c>
      <c r="T3748">
        <f>IMAGE("https://mitra.stanford.edu/kundaje/oak/projects/neuro-variants/variant_position/credible/roussos_2024/variant_figures/roussos_2024.childhood.GLU/rs221786_profile_position.png",4,220,900)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0.082596315</v>
      </c>
      <c r="G3749" t="n">
        <v>0.06542157336076759</v>
      </c>
      <c r="H3749" t="n">
        <v>0.0131754014530984</v>
      </c>
      <c r="I3749" t="n">
        <v>0.3612229816340144</v>
      </c>
      <c r="J3749" t="n">
        <v>0.6340383446485417</v>
      </c>
      <c r="K3749" t="n">
        <v>0.0221309405501825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0.02022</v>
      </c>
      <c r="Q3749" t="n">
        <v>-5</v>
      </c>
      <c r="R3749" t="n">
        <v>0.00708</v>
      </c>
      <c r="S3749">
        <f>IMAGE("https://mitra.stanford.edu/kundaje/oak/projects/neuro-variants/variant_position/credible/roussos_2024/variant_figures/roussos_2024.childhood.GLU/rs221792_count_position.png",4,220,900)</f>
        <v/>
      </c>
      <c r="T3749">
        <f>IMAGE("https://mitra.stanford.edu/kundaje/oak/projects/neuro-variants/variant_position/credible/roussos_2024/variant_figures/roussos_2024.childhood.GLU/rs221792_profile_position.png",4,220,900)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0.09554489299999989</v>
      </c>
      <c r="G3750" t="n">
        <v>0.049920468483615</v>
      </c>
      <c r="H3750" t="n">
        <v>0.0146544291359344</v>
      </c>
      <c r="I3750" t="n">
        <v>0.2617354476048416</v>
      </c>
      <c r="J3750" t="n">
        <v>0.1623558985030957</v>
      </c>
      <c r="K3750" t="n">
        <v>0.1799982570154625</v>
      </c>
      <c r="L3750" t="b">
        <v>0</v>
      </c>
      <c r="M3750" t="b">
        <v>0</v>
      </c>
      <c r="N3750" t="inlineStr">
        <is>
          <t>alt</t>
        </is>
      </c>
      <c r="O3750" t="n">
        <v>45</v>
      </c>
      <c r="P3750" t="n">
        <v>0.00269</v>
      </c>
      <c r="Q3750" t="n">
        <v>100</v>
      </c>
      <c r="R3750" t="n">
        <v>0.1143</v>
      </c>
      <c r="S3750">
        <f>IMAGE("https://mitra.stanford.edu/kundaje/oak/projects/neuro-variants/variant_position/credible/roussos_2024/variant_figures/roussos_2024.childhood.GLU/rs314370_count_position.png",4,220,900)</f>
        <v/>
      </c>
      <c r="T3750">
        <f>IMAGE("https://mitra.stanford.edu/kundaje/oak/projects/neuro-variants/variant_position/credible/roussos_2024/variant_figures/roussos_2024.childhood.GLU/rs314370_profile_position.png",4,220,900)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-0.0358696081399999</v>
      </c>
      <c r="G3751" t="n">
        <v>0.2879959988141191</v>
      </c>
      <c r="H3751" t="n">
        <v>0.0145161771361778</v>
      </c>
      <c r="I3751" t="n">
        <v>0.2789095813111293</v>
      </c>
      <c r="J3751" t="n">
        <v>0.3481347934931542</v>
      </c>
      <c r="K3751" t="n">
        <v>0.0800112694002274</v>
      </c>
      <c r="L3751" t="b">
        <v>0</v>
      </c>
      <c r="M3751" t="b">
        <v>0</v>
      </c>
      <c r="N3751" t="inlineStr">
        <is>
          <t>ref</t>
        </is>
      </c>
      <c r="O3751" t="n">
        <v>-60</v>
      </c>
      <c r="P3751" t="n">
        <v>0.00881</v>
      </c>
      <c r="Q3751" t="n">
        <v>55</v>
      </c>
      <c r="R3751" t="n">
        <v>0.03796</v>
      </c>
      <c r="S3751">
        <f>IMAGE("https://mitra.stanford.edu/kundaje/oak/projects/neuro-variants/variant_position/credible/roussos_2024/variant_figures/roussos_2024.childhood.GLU/rs12705090_count_position.png",4,220,900)</f>
        <v/>
      </c>
      <c r="T3751">
        <f>IMAGE("https://mitra.stanford.edu/kundaje/oak/projects/neuro-variants/variant_position/credible/roussos_2024/variant_figures/roussos_2024.childhood.GLU/rs12705090_profile_position.png",4,220,900)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0.06538091</v>
      </c>
      <c r="G3752" t="n">
        <v>0.1059272492945383</v>
      </c>
      <c r="H3752" t="n">
        <v>0.0108875586331125</v>
      </c>
      <c r="I3752" t="n">
        <v>0.5659653223531742</v>
      </c>
      <c r="J3752" t="n">
        <v>0.1382910772971246</v>
      </c>
      <c r="K3752" t="n">
        <v>0.2040663497154503</v>
      </c>
      <c r="L3752" t="b">
        <v>0</v>
      </c>
      <c r="M3752" t="b">
        <v>0</v>
      </c>
      <c r="N3752" t="inlineStr">
        <is>
          <t>alt</t>
        </is>
      </c>
      <c r="O3752" t="n">
        <v>-90</v>
      </c>
      <c r="P3752" t="n">
        <v>0.00628</v>
      </c>
      <c r="Q3752" t="n">
        <v>100</v>
      </c>
      <c r="R3752" t="n">
        <v>0.1471</v>
      </c>
      <c r="S3752">
        <f>IMAGE("https://mitra.stanford.edu/kundaje/oak/projects/neuro-variants/variant_position/credible/roussos_2024/variant_figures/roussos_2024.childhood.GLU/rs12667888_count_position.png",4,220,900)</f>
        <v/>
      </c>
      <c r="T3752">
        <f>IMAGE("https://mitra.stanford.edu/kundaje/oak/projects/neuro-variants/variant_position/credible/roussos_2024/variant_figures/roussos_2024.childhood.GLU/rs12667888_profile_position.png",4,220,900)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0.0050235046</v>
      </c>
      <c r="G3753" t="n">
        <v>0.5663265485104491</v>
      </c>
      <c r="H3753" t="n">
        <v>0.0340507287476668</v>
      </c>
      <c r="I3753" t="n">
        <v>0.0125613544341711</v>
      </c>
      <c r="J3753" t="n">
        <v>0.4341702123275675</v>
      </c>
      <c r="K3753" t="n">
        <v>0.0559425555370477</v>
      </c>
      <c r="L3753" t="b">
        <v>1</v>
      </c>
      <c r="M3753" t="b">
        <v>0</v>
      </c>
      <c r="N3753" t="inlineStr">
        <is>
          <t>alt</t>
        </is>
      </c>
      <c r="O3753" t="n">
        <v>-100</v>
      </c>
      <c r="P3753" t="n">
        <v>0.006866</v>
      </c>
      <c r="Q3753" t="n">
        <v>-40</v>
      </c>
      <c r="R3753" t="n">
        <v>0.01709</v>
      </c>
      <c r="S3753">
        <f>IMAGE("https://mitra.stanford.edu/kundaje/oak/projects/neuro-variants/variant_position/credible/roussos_2024/variant_figures/roussos_2024.childhood.GLU/rs12705093_count_position.png",4,220,900)</f>
        <v/>
      </c>
      <c r="T3753">
        <f>IMAGE("https://mitra.stanford.edu/kundaje/oak/projects/neuro-variants/variant_position/credible/roussos_2024/variant_figures/roussos_2024.childhood.GLU/rs12705093_profile_position.png",4,220,900)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-0.043498469</v>
      </c>
      <c r="G3754" t="n">
        <v>0.2287747479338106</v>
      </c>
      <c r="H3754" t="n">
        <v>0.0196481974516305</v>
      </c>
      <c r="I3754" t="n">
        <v>0.1094042409824005</v>
      </c>
      <c r="J3754" t="n">
        <v>0.8777226039745741</v>
      </c>
      <c r="K3754" t="n">
        <v>0.0030692851299389</v>
      </c>
      <c r="L3754" t="b">
        <v>0</v>
      </c>
      <c r="M3754" t="b">
        <v>0</v>
      </c>
      <c r="N3754" t="inlineStr">
        <is>
          <t>ref</t>
        </is>
      </c>
      <c r="O3754" t="n">
        <v>-65</v>
      </c>
      <c r="P3754" t="n">
        <v>0.01111</v>
      </c>
      <c r="Q3754" t="n">
        <v>-70</v>
      </c>
      <c r="R3754" t="n">
        <v>0.0543</v>
      </c>
      <c r="S3754">
        <f>IMAGE("https://mitra.stanford.edu/kundaje/oak/projects/neuro-variants/variant_position/credible/roussos_2024/variant_figures/roussos_2024.childhood.GLU/rs17884589_count_position.png",4,220,900)</f>
        <v/>
      </c>
      <c r="T3754">
        <f>IMAGE("https://mitra.stanford.edu/kundaje/oak/projects/neuro-variants/variant_position/credible/roussos_2024/variant_figures/roussos_2024.childhood.GLU/rs17884589_profile_position.png",4,220,900)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0.0077815947199999</v>
      </c>
      <c r="G3755" t="n">
        <v>0.5323621128545152</v>
      </c>
      <c r="H3755" t="n">
        <v>0.0145908751113744</v>
      </c>
      <c r="I3755" t="n">
        <v>0.274846354982259</v>
      </c>
      <c r="J3755" t="n">
        <v>0.8859251856964777</v>
      </c>
      <c r="K3755" t="n">
        <v>0.0027172948812884</v>
      </c>
      <c r="L3755" t="b">
        <v>0</v>
      </c>
      <c r="M3755" t="b">
        <v>0</v>
      </c>
      <c r="N3755" t="inlineStr">
        <is>
          <t>alt</t>
        </is>
      </c>
      <c r="O3755" t="n">
        <v>-100</v>
      </c>
      <c r="P3755" t="n">
        <v>0.03577</v>
      </c>
      <c r="Q3755" t="n">
        <v>-100</v>
      </c>
      <c r="R3755" t="n">
        <v>0.0432</v>
      </c>
      <c r="S3755">
        <f>IMAGE("https://mitra.stanford.edu/kundaje/oak/projects/neuro-variants/variant_position/credible/roussos_2024/variant_figures/roussos_2024.childhood.GLU/rs17883557_count_position.png",4,220,900)</f>
        <v/>
      </c>
      <c r="T3755">
        <f>IMAGE("https://mitra.stanford.edu/kundaje/oak/projects/neuro-variants/variant_position/credible/roussos_2024/variant_figures/roussos_2024.childhood.GLU/rs17883557_profile_position.png",4,220,900)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0.240755936</v>
      </c>
      <c r="G3756" t="n">
        <v>0.0042227607769245</v>
      </c>
      <c r="H3756" t="n">
        <v>0.0191216684964944</v>
      </c>
      <c r="I3756" t="n">
        <v>0.1152602015872793</v>
      </c>
      <c r="J3756" t="n">
        <v>0.1369610681282001</v>
      </c>
      <c r="K3756" t="n">
        <v>0.203057526304339</v>
      </c>
      <c r="L3756" t="b">
        <v>1</v>
      </c>
      <c r="M3756" t="b">
        <v>1</v>
      </c>
      <c r="N3756" t="inlineStr">
        <is>
          <t>alt</t>
        </is>
      </c>
      <c r="O3756" t="n">
        <v>85</v>
      </c>
      <c r="P3756" t="n">
        <v>0.0827</v>
      </c>
      <c r="Q3756" t="n">
        <v>35</v>
      </c>
      <c r="R3756" t="n">
        <v>0.03943</v>
      </c>
      <c r="S3756">
        <f>IMAGE("https://mitra.stanford.edu/kundaje/oak/projects/neuro-variants/variant_position/credible/roussos_2024/variant_figures/roussos_2024.childhood.GLU/rs10278546_count_position.png",4,220,900)</f>
        <v/>
      </c>
      <c r="T3756">
        <f>IMAGE("https://mitra.stanford.edu/kundaje/oak/projects/neuro-variants/variant_position/credible/roussos_2024/variant_figures/roussos_2024.childhood.GLU/rs10278546_profile_position.png",4,220,900)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-0.0370918968</v>
      </c>
      <c r="G3757" t="n">
        <v>0.2828099993450386</v>
      </c>
      <c r="H3757" t="n">
        <v>0.038640636450657</v>
      </c>
      <c r="I3757" t="n">
        <v>0.0074637687122632</v>
      </c>
      <c r="J3757" t="n">
        <v>0.0041218951857994</v>
      </c>
      <c r="K3757" t="n">
        <v>0.6920848867194427</v>
      </c>
      <c r="L3757" t="b">
        <v>0</v>
      </c>
      <c r="M3757" t="b">
        <v>0</v>
      </c>
      <c r="N3757" t="inlineStr">
        <is>
          <t>ref</t>
        </is>
      </c>
      <c r="O3757" t="n">
        <v>70</v>
      </c>
      <c r="P3757" t="n">
        <v>0.00843</v>
      </c>
      <c r="Q3757" t="n">
        <v>-100</v>
      </c>
      <c r="R3757" t="n">
        <v>0.083</v>
      </c>
      <c r="S3757">
        <f>IMAGE("https://mitra.stanford.edu/kundaje/oak/projects/neuro-variants/variant_position/credible/roussos_2024/variant_figures/roussos_2024.childhood.GLU/rs2252074_count_position.png",4,220,900)</f>
        <v/>
      </c>
      <c r="T3757">
        <f>IMAGE("https://mitra.stanford.edu/kundaje/oak/projects/neuro-variants/variant_position/credible/roussos_2024/variant_figures/roussos_2024.childhood.GLU/rs2252074_profile_position.png",4,220,900)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-0.00480872624</v>
      </c>
      <c r="G3758" t="n">
        <v>0.7660328341979485</v>
      </c>
      <c r="H3758" t="n">
        <v>0.0238525358382948</v>
      </c>
      <c r="I3758" t="n">
        <v>0.0525917791368604</v>
      </c>
      <c r="J3758" t="n">
        <v>0.0311557996023364</v>
      </c>
      <c r="K3758" t="n">
        <v>0.426816739932166</v>
      </c>
      <c r="L3758" t="b">
        <v>0</v>
      </c>
      <c r="M3758" t="b">
        <v>0</v>
      </c>
      <c r="N3758" t="inlineStr">
        <is>
          <t>ref</t>
        </is>
      </c>
      <c r="O3758" t="n">
        <v>-70</v>
      </c>
      <c r="P3758" t="n">
        <v>0.01736</v>
      </c>
      <c r="Q3758" t="n">
        <v>-30</v>
      </c>
      <c r="R3758" t="n">
        <v>0.06494</v>
      </c>
      <c r="S3758">
        <f>IMAGE("https://mitra.stanford.edu/kundaje/oak/projects/neuro-variants/variant_position/credible/roussos_2024/variant_figures/roussos_2024.childhood.GLU/rs4727614_count_position.png",4,220,900)</f>
        <v/>
      </c>
      <c r="T3758">
        <f>IMAGE("https://mitra.stanford.edu/kundaje/oak/projects/neuro-variants/variant_position/credible/roussos_2024/variant_figures/roussos_2024.childhood.GLU/rs4727614_profile_position.png",4,220,900)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-0.00685799118</v>
      </c>
      <c r="G3759" t="n">
        <v>0.7622595841449152</v>
      </c>
      <c r="H3759" t="n">
        <v>0.0100387323897121</v>
      </c>
      <c r="I3759" t="n">
        <v>0.6631783003704296</v>
      </c>
      <c r="J3759" t="n">
        <v>0.0498006531570976</v>
      </c>
      <c r="K3759" t="n">
        <v>0.3499218621159625</v>
      </c>
      <c r="L3759" t="b">
        <v>0</v>
      </c>
      <c r="M3759" t="b">
        <v>0</v>
      </c>
      <c r="N3759" t="inlineStr">
        <is>
          <t>ref</t>
        </is>
      </c>
      <c r="O3759" t="n">
        <v>35</v>
      </c>
      <c r="P3759" t="n">
        <v>0.00755</v>
      </c>
      <c r="Q3759" t="n">
        <v>50</v>
      </c>
      <c r="R3759" t="n">
        <v>0.05096</v>
      </c>
      <c r="S3759">
        <f>IMAGE("https://mitra.stanford.edu/kundaje/oak/projects/neuro-variants/variant_position/credible/roussos_2024/variant_figures/roussos_2024.childhood.GLU/rs7776707_count_position.png",4,220,900)</f>
        <v/>
      </c>
      <c r="T3759">
        <f>IMAGE("https://mitra.stanford.edu/kundaje/oak/projects/neuro-variants/variant_position/credible/roussos_2024/variant_figures/roussos_2024.childhood.GLU/rs7776707_profile_position.png",4,220,900)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0.0041798615</v>
      </c>
      <c r="G3760" t="n">
        <v>0.6949006756801338</v>
      </c>
      <c r="H3760" t="n">
        <v>0.0113240686838634</v>
      </c>
      <c r="I3760" t="n">
        <v>0.524460630342372</v>
      </c>
      <c r="J3760" t="n">
        <v>0.8275850701062153</v>
      </c>
      <c r="K3760" t="n">
        <v>0.0055755980604279</v>
      </c>
      <c r="L3760" t="b">
        <v>0</v>
      </c>
      <c r="M3760" t="b">
        <v>0</v>
      </c>
      <c r="N3760" t="inlineStr">
        <is>
          <t>alt</t>
        </is>
      </c>
      <c r="O3760" t="n">
        <v>-100</v>
      </c>
      <c r="P3760" t="n">
        <v>0.04205</v>
      </c>
      <c r="Q3760" t="n">
        <v>-100</v>
      </c>
      <c r="R3760" t="n">
        <v>0.3647</v>
      </c>
      <c r="S3760">
        <f>IMAGE("https://mitra.stanford.edu/kundaje/oak/projects/neuro-variants/variant_position/credible/roussos_2024/variant_figures/roussos_2024.childhood.GLU/rs3823752_count_position.png",4,220,900)</f>
        <v/>
      </c>
      <c r="T3760">
        <f>IMAGE("https://mitra.stanford.edu/kundaje/oak/projects/neuro-variants/variant_position/credible/roussos_2024/variant_figures/roussos_2024.childhood.GLU/rs3823752_profile_position.png",4,220,900)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0.051482837</v>
      </c>
      <c r="G3761" t="n">
        <v>0.1898651291846749</v>
      </c>
      <c r="H3761" t="n">
        <v>0.0133553996583775</v>
      </c>
      <c r="I3761" t="n">
        <v>0.3612289236370321</v>
      </c>
      <c r="J3761" t="n">
        <v>0.0306849907795646</v>
      </c>
      <c r="K3761" t="n">
        <v>0.4255134767564763</v>
      </c>
      <c r="L3761" t="b">
        <v>0</v>
      </c>
      <c r="M3761" t="b">
        <v>0</v>
      </c>
      <c r="N3761" t="inlineStr">
        <is>
          <t>alt</t>
        </is>
      </c>
      <c r="O3761" t="n">
        <v>25</v>
      </c>
      <c r="P3761" t="n">
        <v>0.001862</v>
      </c>
      <c r="Q3761" t="n">
        <v>60</v>
      </c>
      <c r="R3761" t="n">
        <v>0.1216</v>
      </c>
      <c r="S3761">
        <f>IMAGE("https://mitra.stanford.edu/kundaje/oak/projects/neuro-variants/variant_position/credible/roussos_2024/variant_figures/roussos_2024.childhood.GLU/rs11760317_count_position.png",4,220,900)</f>
        <v/>
      </c>
      <c r="T3761">
        <f>IMAGE("https://mitra.stanford.edu/kundaje/oak/projects/neuro-variants/variant_position/credible/roussos_2024/variant_figures/roussos_2024.childhood.GLU/rs11760317_profile_position.png",4,220,900)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0.38929379</v>
      </c>
      <c r="G3762" t="n">
        <v>0.0007943832137327</v>
      </c>
      <c r="H3762" t="n">
        <v>0.0573814578403625</v>
      </c>
      <c r="I3762" t="n">
        <v>0.0017528009793425</v>
      </c>
      <c r="J3762" t="n">
        <v>0.2345472714722819</v>
      </c>
      <c r="K3762" t="n">
        <v>0.1294540679877478</v>
      </c>
      <c r="L3762" t="b">
        <v>1</v>
      </c>
      <c r="M3762" t="b">
        <v>1</v>
      </c>
      <c r="N3762" t="inlineStr">
        <is>
          <t>alt</t>
        </is>
      </c>
      <c r="O3762" t="n">
        <v>25</v>
      </c>
      <c r="P3762" t="n">
        <v>0.0174</v>
      </c>
      <c r="Q3762" t="n">
        <v>60</v>
      </c>
      <c r="R3762" t="n">
        <v>0.0542</v>
      </c>
      <c r="S3762">
        <f>IMAGE("https://mitra.stanford.edu/kundaje/oak/projects/neuro-variants/variant_position/credible/roussos_2024/variant_figures/roussos_2024.childhood.GLU/rs10808141_count_position.png",4,220,900)</f>
        <v/>
      </c>
      <c r="T3762">
        <f>IMAGE("https://mitra.stanford.edu/kundaje/oak/projects/neuro-variants/variant_position/credible/roussos_2024/variant_figures/roussos_2024.childhood.GLU/rs10808141_profile_position.png",4,220,900)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0.0491962396</v>
      </c>
      <c r="G3763" t="n">
        <v>0.1714404514547292</v>
      </c>
      <c r="H3763" t="n">
        <v>0.0288944830359047</v>
      </c>
      <c r="I3763" t="n">
        <v>0.0252784797228039</v>
      </c>
      <c r="J3763" t="n">
        <v>0.0151802363316059</v>
      </c>
      <c r="K3763" t="n">
        <v>0.5490811566645455</v>
      </c>
      <c r="L3763" t="b">
        <v>0</v>
      </c>
      <c r="M3763" t="b">
        <v>0</v>
      </c>
      <c r="N3763" t="inlineStr">
        <is>
          <t>alt</t>
        </is>
      </c>
      <c r="O3763" t="n">
        <v>50</v>
      </c>
      <c r="P3763" t="n">
        <v>0.00769</v>
      </c>
      <c r="Q3763" t="n">
        <v>95</v>
      </c>
      <c r="R3763" t="n">
        <v>0.1335</v>
      </c>
      <c r="S3763">
        <f>IMAGE("https://mitra.stanford.edu/kundaje/oak/projects/neuro-variants/variant_position/credible/roussos_2024/variant_figures/roussos_2024.childhood.GLU/rs10953468_count_position.png",4,220,900)</f>
        <v/>
      </c>
      <c r="T3763">
        <f>IMAGE("https://mitra.stanford.edu/kundaje/oak/projects/neuro-variants/variant_position/credible/roussos_2024/variant_figures/roussos_2024.childhood.GLU/rs10953468_profile_position.png",4,220,900)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0.00281678982</v>
      </c>
      <c r="G3764" t="n">
        <v>0.8476660528796506</v>
      </c>
      <c r="H3764" t="n">
        <v>0.0178022423114043</v>
      </c>
      <c r="I3764" t="n">
        <v>0.148995822702616</v>
      </c>
      <c r="J3764" t="n">
        <v>0.0036459352818156</v>
      </c>
      <c r="K3764" t="n">
        <v>0.7301796346861854</v>
      </c>
      <c r="L3764" t="b">
        <v>0</v>
      </c>
      <c r="M3764" t="b">
        <v>0</v>
      </c>
      <c r="N3764" t="inlineStr">
        <is>
          <t>alt</t>
        </is>
      </c>
      <c r="O3764" t="n">
        <v>-90</v>
      </c>
      <c r="P3764" t="n">
        <v>0.01048</v>
      </c>
      <c r="Q3764" t="n">
        <v>70</v>
      </c>
      <c r="R3764" t="n">
        <v>0.0583</v>
      </c>
      <c r="S3764">
        <f>IMAGE("https://mitra.stanford.edu/kundaje/oak/projects/neuro-variants/variant_position/credible/roussos_2024/variant_figures/roussos_2024.childhood.GLU/rs6943183_count_position.png",4,220,900)</f>
        <v/>
      </c>
      <c r="T3764">
        <f>IMAGE("https://mitra.stanford.edu/kundaje/oak/projects/neuro-variants/variant_position/credible/roussos_2024/variant_figures/roussos_2024.childhood.GLU/rs6943183_profile_position.png",4,220,900)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-0.0157256317</v>
      </c>
      <c r="G3765" t="n">
        <v>0.5425260687893607</v>
      </c>
      <c r="H3765" t="n">
        <v>0.0094394510378754</v>
      </c>
      <c r="I3765" t="n">
        <v>0.7240350012884368</v>
      </c>
      <c r="J3765" t="n">
        <v>0.0105772301606106</v>
      </c>
      <c r="K3765" t="n">
        <v>0.5868337538963627</v>
      </c>
      <c r="L3765" t="b">
        <v>0</v>
      </c>
      <c r="M3765" t="b">
        <v>0</v>
      </c>
      <c r="N3765" t="inlineStr">
        <is>
          <t>ref</t>
        </is>
      </c>
      <c r="O3765" t="n">
        <v>45</v>
      </c>
      <c r="P3765" t="n">
        <v>0.00813</v>
      </c>
      <c r="Q3765" t="n">
        <v>-45</v>
      </c>
      <c r="R3765" t="n">
        <v>0.02173</v>
      </c>
      <c r="S3765">
        <f>IMAGE("https://mitra.stanford.edu/kundaje/oak/projects/neuro-variants/variant_position/credible/roussos_2024/variant_figures/roussos_2024.childhood.GLU/rs3779210_count_position.png",4,220,900)</f>
        <v/>
      </c>
      <c r="T3765">
        <f>IMAGE("https://mitra.stanford.edu/kundaje/oak/projects/neuro-variants/variant_position/credible/roussos_2024/variant_figures/roussos_2024.childhood.GLU/rs3779210_profile_position.png",4,220,900)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0.0789676198</v>
      </c>
      <c r="G3766" t="n">
        <v>0.082154357418497</v>
      </c>
      <c r="H3766" t="n">
        <v>0.0200078882058352</v>
      </c>
      <c r="I3766" t="n">
        <v>0.1014667953261128</v>
      </c>
      <c r="J3766" t="n">
        <v>0.0940680148763224</v>
      </c>
      <c r="K3766" t="n">
        <v>0.25822465253366</v>
      </c>
      <c r="L3766" t="b">
        <v>0</v>
      </c>
      <c r="M3766" t="b">
        <v>0</v>
      </c>
      <c r="N3766" t="inlineStr">
        <is>
          <t>alt</t>
        </is>
      </c>
      <c r="O3766" t="n">
        <v>75</v>
      </c>
      <c r="P3766" t="n">
        <v>0.004204</v>
      </c>
      <c r="Q3766" t="n">
        <v>20</v>
      </c>
      <c r="R3766" t="n">
        <v>0.03082</v>
      </c>
      <c r="S3766">
        <f>IMAGE("https://mitra.stanford.edu/kundaje/oak/projects/neuro-variants/variant_position/credible/roussos_2024/variant_figures/roussos_2024.childhood.GLU/rs10281886_count_position.png",4,220,900)</f>
        <v/>
      </c>
      <c r="T3766">
        <f>IMAGE("https://mitra.stanford.edu/kundaje/oak/projects/neuro-variants/variant_position/credible/roussos_2024/variant_figures/roussos_2024.childhood.GLU/rs10281886_profile_position.png",4,220,900)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-0.0097801813799999</v>
      </c>
      <c r="G3767" t="n">
        <v>0.671248537042945</v>
      </c>
      <c r="H3767" t="n">
        <v>0.0199233451289179</v>
      </c>
      <c r="I3767" t="n">
        <v>0.1009093887289141</v>
      </c>
      <c r="J3767" t="n">
        <v>0.0990841377605159</v>
      </c>
      <c r="K3767" t="n">
        <v>0.251373153999895</v>
      </c>
      <c r="L3767" t="b">
        <v>0</v>
      </c>
      <c r="M3767" t="b">
        <v>0</v>
      </c>
      <c r="N3767" t="inlineStr">
        <is>
          <t>ref</t>
        </is>
      </c>
      <c r="O3767" t="n">
        <v>100</v>
      </c>
      <c r="P3767" t="n">
        <v>0.02507</v>
      </c>
      <c r="Q3767" t="n">
        <v>-75</v>
      </c>
      <c r="R3767" t="n">
        <v>0.1595</v>
      </c>
      <c r="S3767">
        <f>IMAGE("https://mitra.stanford.edu/kundaje/oak/projects/neuro-variants/variant_position/credible/roussos_2024/variant_figures/roussos_2024.childhood.GLU/rs2240463_count_position.png",4,220,900)</f>
        <v/>
      </c>
      <c r="T3767">
        <f>IMAGE("https://mitra.stanford.edu/kundaje/oak/projects/neuro-variants/variant_position/credible/roussos_2024/variant_figures/roussos_2024.childhood.GLU/rs2240463_profile_position.png",4,220,900)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-0.07460273940000001</v>
      </c>
      <c r="G3768" t="n">
        <v>0.0834315669564062</v>
      </c>
      <c r="H3768" t="n">
        <v>0.0287714326282785</v>
      </c>
      <c r="I3768" t="n">
        <v>0.0342781716408726</v>
      </c>
      <c r="J3768" t="n">
        <v>0.1306005130476886</v>
      </c>
      <c r="K3768" t="n">
        <v>0.2102466450705413</v>
      </c>
      <c r="L3768" t="b">
        <v>0</v>
      </c>
      <c r="M3768" t="b">
        <v>0</v>
      </c>
      <c r="N3768" t="inlineStr">
        <is>
          <t>ref</t>
        </is>
      </c>
      <c r="O3768" t="n">
        <v>-85</v>
      </c>
      <c r="P3768" t="n">
        <v>0.003632</v>
      </c>
      <c r="Q3768" t="n">
        <v>35</v>
      </c>
      <c r="R3768" t="n">
        <v>0.01712</v>
      </c>
      <c r="S3768">
        <f>IMAGE("https://mitra.stanford.edu/kundaje/oak/projects/neuro-variants/variant_position/credible/roussos_2024/variant_figures/roussos_2024.childhood.GLU/rs10281422_count_position.png",4,220,900)</f>
        <v/>
      </c>
      <c r="T3768">
        <f>IMAGE("https://mitra.stanford.edu/kundaje/oak/projects/neuro-variants/variant_position/credible/roussos_2024/variant_figures/roussos_2024.childhood.GLU/rs10281422_profile_position.png",4,220,900)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0.0391371167999999</v>
      </c>
      <c r="G3769" t="n">
        <v>0.2432941712525319</v>
      </c>
      <c r="H3769" t="n">
        <v>0.0136633523495226</v>
      </c>
      <c r="I3769" t="n">
        <v>0.3232919504952493</v>
      </c>
      <c r="J3769" t="n">
        <v>0.1746309250311639</v>
      </c>
      <c r="K3769" t="n">
        <v>0.1669183996801956</v>
      </c>
      <c r="L3769" t="b">
        <v>0</v>
      </c>
      <c r="M3769" t="b">
        <v>0</v>
      </c>
      <c r="N3769" t="inlineStr">
        <is>
          <t>alt</t>
        </is>
      </c>
      <c r="O3769" t="n">
        <v>95</v>
      </c>
      <c r="P3769" t="n">
        <v>0.0011635</v>
      </c>
      <c r="Q3769" t="n">
        <v>-40</v>
      </c>
      <c r="R3769" t="n">
        <v>0.052</v>
      </c>
      <c r="S3769">
        <f>IMAGE("https://mitra.stanford.edu/kundaje/oak/projects/neuro-variants/variant_position/credible/roussos_2024/variant_figures/roussos_2024.childhood.GLU/rs41562_count_position.png",4,220,900)</f>
        <v/>
      </c>
      <c r="T3769">
        <f>IMAGE("https://mitra.stanford.edu/kundaje/oak/projects/neuro-variants/variant_position/credible/roussos_2024/variant_figures/roussos_2024.childhood.GLU/rs41562_profile_position.png",4,220,900)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-0.056454111</v>
      </c>
      <c r="G3770" t="n">
        <v>0.1429606718345815</v>
      </c>
      <c r="H3770" t="n">
        <v>0.0143463408968095</v>
      </c>
      <c r="I3770" t="n">
        <v>0.2796828923848478</v>
      </c>
      <c r="J3770" t="n">
        <v>0.1439510853328113</v>
      </c>
      <c r="K3770" t="n">
        <v>0.1941590401424358</v>
      </c>
      <c r="L3770" t="b">
        <v>0</v>
      </c>
      <c r="M3770" t="b">
        <v>0</v>
      </c>
      <c r="N3770" t="inlineStr">
        <is>
          <t>ref</t>
        </is>
      </c>
      <c r="O3770" t="n">
        <v>75</v>
      </c>
      <c r="P3770" t="n">
        <v>0.004288</v>
      </c>
      <c r="Q3770" t="n">
        <v>-100</v>
      </c>
      <c r="R3770" t="n">
        <v>0.166</v>
      </c>
      <c r="S3770">
        <f>IMAGE("https://mitra.stanford.edu/kundaje/oak/projects/neuro-variants/variant_position/credible/roussos_2024/variant_figures/roussos_2024.childhood.GLU/rs2237613_count_position.png",4,220,900)</f>
        <v/>
      </c>
      <c r="T3770">
        <f>IMAGE("https://mitra.stanford.edu/kundaje/oak/projects/neuro-variants/variant_position/credible/roussos_2024/variant_figures/roussos_2024.childhood.GLU/rs2237613_profile_position.png",4,220,900)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0.0931592618</v>
      </c>
      <c r="G3771" t="n">
        <v>0.051195595155294</v>
      </c>
      <c r="H3771" t="n">
        <v>0.033275011252793</v>
      </c>
      <c r="I3771" t="n">
        <v>0.0144137142233566</v>
      </c>
      <c r="J3771" t="n">
        <v>0.0759454809564527</v>
      </c>
      <c r="K3771" t="n">
        <v>0.2841300321973823</v>
      </c>
      <c r="L3771" t="b">
        <v>1</v>
      </c>
      <c r="M3771" t="b">
        <v>0</v>
      </c>
      <c r="N3771" t="inlineStr">
        <is>
          <t>alt</t>
        </is>
      </c>
      <c r="O3771" t="n">
        <v>-85</v>
      </c>
      <c r="P3771" t="n">
        <v>0.01892</v>
      </c>
      <c r="Q3771" t="n">
        <v>55</v>
      </c>
      <c r="R3771" t="n">
        <v>0.03882</v>
      </c>
      <c r="S3771">
        <f>IMAGE("https://mitra.stanford.edu/kundaje/oak/projects/neuro-variants/variant_position/credible/roussos_2024/variant_figures/roussos_2024.childhood.GLU/rs4730073_count_position.png",4,220,900)</f>
        <v/>
      </c>
      <c r="T3771">
        <f>IMAGE("https://mitra.stanford.edu/kundaje/oak/projects/neuro-variants/variant_position/credible/roussos_2024/variant_figures/roussos_2024.childhood.GLU/rs4730073_profile_position.png",4,220,900)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-0.0435551703999999</v>
      </c>
      <c r="G3772" t="n">
        <v>0.2140456980723807</v>
      </c>
      <c r="H3772" t="n">
        <v>0.0165975181766119</v>
      </c>
      <c r="I3772" t="n">
        <v>0.1857475680491737</v>
      </c>
      <c r="J3772" t="n">
        <v>0.068284792978046</v>
      </c>
      <c r="K3772" t="n">
        <v>0.3015151781022967</v>
      </c>
      <c r="L3772" t="b">
        <v>0</v>
      </c>
      <c r="M3772" t="b">
        <v>0</v>
      </c>
      <c r="N3772" t="inlineStr">
        <is>
          <t>ref</t>
        </is>
      </c>
      <c r="O3772" t="n">
        <v>15</v>
      </c>
      <c r="P3772" t="n">
        <v>0.007782</v>
      </c>
      <c r="Q3772" t="n">
        <v>10</v>
      </c>
      <c r="R3772" t="n">
        <v>0.0188</v>
      </c>
      <c r="S3772">
        <f>IMAGE("https://mitra.stanford.edu/kundaje/oak/projects/neuro-variants/variant_position/credible/roussos_2024/variant_figures/roussos_2024.childhood.GLU/rs10953470_count_position.png",4,220,900)</f>
        <v/>
      </c>
      <c r="T3772">
        <f>IMAGE("https://mitra.stanford.edu/kundaje/oak/projects/neuro-variants/variant_position/credible/roussos_2024/variant_figures/roussos_2024.childhood.GLU/rs10953470_profile_position.png",4,220,900)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-0.09597903300000001</v>
      </c>
      <c r="G3773" t="n">
        <v>0.0563435048174053</v>
      </c>
      <c r="H3773" t="n">
        <v>0.02996383621478</v>
      </c>
      <c r="I3773" t="n">
        <v>0.0231244062260596</v>
      </c>
      <c r="J3773" t="n">
        <v>0.1280074587655948</v>
      </c>
      <c r="K3773" t="n">
        <v>0.2129165268636517</v>
      </c>
      <c r="L3773" t="b">
        <v>0</v>
      </c>
      <c r="M3773" t="b">
        <v>0</v>
      </c>
      <c r="N3773" t="inlineStr">
        <is>
          <t>ref</t>
        </is>
      </c>
      <c r="O3773" t="n">
        <v>0</v>
      </c>
      <c r="P3773" t="n">
        <v>0</v>
      </c>
      <c r="Q3773" t="n">
        <v>20</v>
      </c>
      <c r="R3773" t="n">
        <v>0.08984</v>
      </c>
      <c r="S3773">
        <f>IMAGE("https://mitra.stanford.edu/kundaje/oak/projects/neuro-variants/variant_position/credible/roussos_2024/variant_figures/roussos_2024.childhood.GLU/rs3801282_count_position.png",4,220,900)</f>
        <v/>
      </c>
      <c r="T3773">
        <f>IMAGE("https://mitra.stanford.edu/kundaje/oak/projects/neuro-variants/variant_position/credible/roussos_2024/variant_figures/roussos_2024.childhood.GLU/rs3801282_profile_position.png",4,220,900)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-0.231953406</v>
      </c>
      <c r="G3774" t="n">
        <v>0.0047561253660606</v>
      </c>
      <c r="H3774" t="n">
        <v>0.0401254215893509</v>
      </c>
      <c r="I3774" t="n">
        <v>0.0072972032857499</v>
      </c>
      <c r="J3774" t="n">
        <v>0.0011332378666281</v>
      </c>
      <c r="K3774" t="n">
        <v>0.8146620430783013</v>
      </c>
      <c r="L3774" t="b">
        <v>1</v>
      </c>
      <c r="M3774" t="b">
        <v>1</v>
      </c>
      <c r="N3774" t="inlineStr">
        <is>
          <t>ref</t>
        </is>
      </c>
      <c r="O3774" t="n">
        <v>90</v>
      </c>
      <c r="P3774" t="n">
        <v>0.004913</v>
      </c>
      <c r="Q3774" t="n">
        <v>-100</v>
      </c>
      <c r="R3774" t="n">
        <v>0.02911</v>
      </c>
      <c r="S3774">
        <f>IMAGE("https://mitra.stanford.edu/kundaje/oak/projects/neuro-variants/variant_position/credible/roussos_2024/variant_figures/roussos_2024.childhood.GLU/rs3801278_count_position.png",4,220,900)</f>
        <v/>
      </c>
      <c r="T3774">
        <f>IMAGE("https://mitra.stanford.edu/kundaje/oak/projects/neuro-variants/variant_position/credible/roussos_2024/variant_figures/roussos_2024.childhood.GLU/rs3801278_profile_position.png",4,220,900)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-0.00262527006</v>
      </c>
      <c r="G3775" t="n">
        <v>0.7631032945307705</v>
      </c>
      <c r="H3775" t="n">
        <v>0.034936279924076</v>
      </c>
      <c r="I3775" t="n">
        <v>0.0113769378169442</v>
      </c>
      <c r="J3775" t="n">
        <v>0.1562662902943327</v>
      </c>
      <c r="K3775" t="n">
        <v>0.1863916106939772</v>
      </c>
      <c r="L3775" t="b">
        <v>1</v>
      </c>
      <c r="M3775" t="b">
        <v>0</v>
      </c>
      <c r="N3775" t="inlineStr">
        <is>
          <t>ref</t>
        </is>
      </c>
      <c r="O3775" t="n">
        <v>100</v>
      </c>
      <c r="P3775" t="n">
        <v>0.003258</v>
      </c>
      <c r="Q3775" t="n">
        <v>80</v>
      </c>
      <c r="R3775" t="n">
        <v>0.1636</v>
      </c>
      <c r="S3775">
        <f>IMAGE("https://mitra.stanford.edu/kundaje/oak/projects/neuro-variants/variant_position/credible/roussos_2024/variant_figures/roussos_2024.childhood.GLU/rs6466055_count_position.png",4,220,900)</f>
        <v/>
      </c>
      <c r="T3775">
        <f>IMAGE("https://mitra.stanford.edu/kundaje/oak/projects/neuro-variants/variant_position/credible/roussos_2024/variant_figures/roussos_2024.childhood.GLU/rs6466055_profile_position.png",4,220,900)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-0.0107753568799999</v>
      </c>
      <c r="G3776" t="n">
        <v>0.4498084366708214</v>
      </c>
      <c r="H3776" t="n">
        <v>0.0168481922600502</v>
      </c>
      <c r="I3776" t="n">
        <v>0.1778210036055149</v>
      </c>
      <c r="J3776" t="n">
        <v>0.1439912637662645</v>
      </c>
      <c r="K3776" t="n">
        <v>0.199217513318338</v>
      </c>
      <c r="L3776" t="b">
        <v>0</v>
      </c>
      <c r="M3776" t="b">
        <v>0</v>
      </c>
      <c r="N3776" t="inlineStr">
        <is>
          <t>ref</t>
        </is>
      </c>
      <c r="O3776" t="n">
        <v>-95</v>
      </c>
      <c r="P3776" t="n">
        <v>0.01767</v>
      </c>
      <c r="Q3776" t="n">
        <v>-40</v>
      </c>
      <c r="R3776" t="n">
        <v>0.1062</v>
      </c>
      <c r="S3776">
        <f>IMAGE("https://mitra.stanford.edu/kundaje/oak/projects/neuro-variants/variant_position/credible/roussos_2024/variant_figures/roussos_2024.childhood.GLU/rs6466056_count_position.png",4,220,900)</f>
        <v/>
      </c>
      <c r="T3776">
        <f>IMAGE("https://mitra.stanford.edu/kundaje/oak/projects/neuro-variants/variant_position/credible/roussos_2024/variant_figures/roussos_2024.childhood.GLU/rs6466056_profile_position.png",4,220,900)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0.1425581135999999</v>
      </c>
      <c r="G3777" t="n">
        <v>0.0279573765886162</v>
      </c>
      <c r="H3777" t="n">
        <v>0.0231824119451001</v>
      </c>
      <c r="I3777" t="n">
        <v>0.0821291415139578</v>
      </c>
      <c r="J3777" t="n">
        <v>0.0202561117578579</v>
      </c>
      <c r="K3777" t="n">
        <v>0.5073903970840959</v>
      </c>
      <c r="L3777" t="b">
        <v>0</v>
      </c>
      <c r="M3777" t="b">
        <v>0</v>
      </c>
      <c r="N3777" t="inlineStr">
        <is>
          <t>alt</t>
        </is>
      </c>
      <c r="O3777" t="n">
        <v>-95</v>
      </c>
      <c r="P3777" t="n">
        <v>0.007004</v>
      </c>
      <c r="Q3777" t="n">
        <v>55</v>
      </c>
      <c r="R3777" t="n">
        <v>0.07290000000000001</v>
      </c>
      <c r="S3777">
        <f>IMAGE("https://mitra.stanford.edu/kundaje/oak/projects/neuro-variants/variant_position/credible/roussos_2024/variant_figures/roussos_2024.childhood.GLU/rs2057884_count_position.png",4,220,900)</f>
        <v/>
      </c>
      <c r="T3777">
        <f>IMAGE("https://mitra.stanford.edu/kundaje/oak/projects/neuro-variants/variant_position/credible/roussos_2024/variant_figures/roussos_2024.childhood.GLU/rs2057884_profile_position.png",4,220,900)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-0.1183776708</v>
      </c>
      <c r="G3778" t="n">
        <v>0.0296157881503261</v>
      </c>
      <c r="H3778" t="n">
        <v>0.0349782641508162</v>
      </c>
      <c r="I3778" t="n">
        <v>0.0121645443637941</v>
      </c>
      <c r="J3778" t="n">
        <v>0.0487529232385877</v>
      </c>
      <c r="K3778" t="n">
        <v>0.3639388426759115</v>
      </c>
      <c r="L3778" t="b">
        <v>1</v>
      </c>
      <c r="M3778" t="b">
        <v>0</v>
      </c>
      <c r="N3778" t="inlineStr">
        <is>
          <t>ref</t>
        </is>
      </c>
      <c r="O3778" t="n">
        <v>-10</v>
      </c>
      <c r="P3778" t="n">
        <v>0.000977</v>
      </c>
      <c r="Q3778" t="n">
        <v>-60</v>
      </c>
      <c r="R3778" t="n">
        <v>0.05957</v>
      </c>
      <c r="S3778">
        <f>IMAGE("https://mitra.stanford.edu/kundaje/oak/projects/neuro-variants/variant_position/credible/roussos_2024/variant_figures/roussos_2024.childhood.GLU/rs4730430_count_position.png",4,220,900)</f>
        <v/>
      </c>
      <c r="T3778">
        <f>IMAGE("https://mitra.stanford.edu/kundaje/oak/projects/neuro-variants/variant_position/credible/roussos_2024/variant_figures/roussos_2024.childhood.GLU/rs4730430_profile_position.png",4,220,900)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0.062643289</v>
      </c>
      <c r="G3779" t="n">
        <v>0.11826204139597</v>
      </c>
      <c r="H3779" t="n">
        <v>0.0216913886885901</v>
      </c>
      <c r="I3779" t="n">
        <v>0.0732316959928332</v>
      </c>
      <c r="J3779" t="n">
        <v>0.0572367539946634</v>
      </c>
      <c r="K3779" t="n">
        <v>0.3385031134804349</v>
      </c>
      <c r="L3779" t="b">
        <v>0</v>
      </c>
      <c r="M3779" t="b">
        <v>0</v>
      </c>
      <c r="N3779" t="inlineStr">
        <is>
          <t>alt</t>
        </is>
      </c>
      <c r="O3779" t="n">
        <v>-65</v>
      </c>
      <c r="P3779" t="n">
        <v>0.00769</v>
      </c>
      <c r="Q3779" t="n">
        <v>-90</v>
      </c>
      <c r="R3779" t="n">
        <v>0.1504</v>
      </c>
      <c r="S3779">
        <f>IMAGE("https://mitra.stanford.edu/kundaje/oak/projects/neuro-variants/variant_position/credible/roussos_2024/variant_figures/roussos_2024.childhood.GLU/rs55634663_count_position.png",4,220,900)</f>
        <v/>
      </c>
      <c r="T3779">
        <f>IMAGE("https://mitra.stanford.edu/kundaje/oak/projects/neuro-variants/variant_position/credible/roussos_2024/variant_figures/roussos_2024.childhood.GLU/rs55634663_profile_position.png",4,220,900)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0.0680022427599999</v>
      </c>
      <c r="G3780" t="n">
        <v>0.1255162246465549</v>
      </c>
      <c r="H3780" t="n">
        <v>0.0154289827181528</v>
      </c>
      <c r="I3780" t="n">
        <v>0.2446467470467849</v>
      </c>
      <c r="J3780" t="n">
        <v>0.1184583844148886</v>
      </c>
      <c r="K3780" t="n">
        <v>0.2206271393712578</v>
      </c>
      <c r="L3780" t="b">
        <v>0</v>
      </c>
      <c r="M3780" t="b">
        <v>0</v>
      </c>
      <c r="N3780" t="inlineStr">
        <is>
          <t>alt</t>
        </is>
      </c>
      <c r="O3780" t="n">
        <v>-10</v>
      </c>
      <c r="P3780" t="n">
        <v>0.001678</v>
      </c>
      <c r="Q3780" t="n">
        <v>75</v>
      </c>
      <c r="R3780" t="n">
        <v>0.02124</v>
      </c>
      <c r="S3780">
        <f>IMAGE("https://mitra.stanford.edu/kundaje/oak/projects/neuro-variants/variant_position/credible/roussos_2024/variant_figures/roussos_2024.childhood.GLU/rs211792_count_position.png",4,220,900)</f>
        <v/>
      </c>
      <c r="T3780">
        <f>IMAGE("https://mitra.stanford.edu/kundaje/oak/projects/neuro-variants/variant_position/credible/roussos_2024/variant_figures/roussos_2024.childhood.GLU/rs211792_profile_position.png",4,220,900)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0.061033957</v>
      </c>
      <c r="G3781" t="n">
        <v>0.1289893193472706</v>
      </c>
      <c r="H3781" t="n">
        <v>0.0138651200736789</v>
      </c>
      <c r="I3781" t="n">
        <v>0.3095933742219808</v>
      </c>
      <c r="J3781" t="n">
        <v>0.1827696333460393</v>
      </c>
      <c r="K3781" t="n">
        <v>0.1615564701880385</v>
      </c>
      <c r="L3781" t="b">
        <v>0</v>
      </c>
      <c r="M3781" t="b">
        <v>0</v>
      </c>
      <c r="N3781" t="inlineStr">
        <is>
          <t>alt</t>
        </is>
      </c>
      <c r="O3781" t="n">
        <v>10</v>
      </c>
      <c r="P3781" t="n">
        <v>0.004883</v>
      </c>
      <c r="Q3781" t="n">
        <v>100</v>
      </c>
      <c r="R3781" t="n">
        <v>0.0718</v>
      </c>
      <c r="S3781">
        <f>IMAGE("https://mitra.stanford.edu/kundaje/oak/projects/neuro-variants/variant_position/credible/roussos_2024/variant_figures/roussos_2024.childhood.GLU/rs56680698_count_position.png",4,220,900)</f>
        <v/>
      </c>
      <c r="T3781">
        <f>IMAGE("https://mitra.stanford.edu/kundaje/oak/projects/neuro-variants/variant_position/credible/roussos_2024/variant_figures/roussos_2024.childhood.GLU/rs56680698_profile_position.png",4,220,900)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-0.0423007574</v>
      </c>
      <c r="G3782" t="n">
        <v>0.2368718908857789</v>
      </c>
      <c r="H3782" t="n">
        <v>0.0229302027787546</v>
      </c>
      <c r="I3782" t="n">
        <v>0.060621434449506</v>
      </c>
      <c r="J3782" t="n">
        <v>0.0064388515149329</v>
      </c>
      <c r="K3782" t="n">
        <v>0.6521953219899764</v>
      </c>
      <c r="L3782" t="b">
        <v>0</v>
      </c>
      <c r="M3782" t="b">
        <v>0</v>
      </c>
      <c r="N3782" t="inlineStr">
        <is>
          <t>ref</t>
        </is>
      </c>
      <c r="O3782" t="n">
        <v>35</v>
      </c>
      <c r="P3782" t="n">
        <v>0.003632</v>
      </c>
      <c r="Q3782" t="n">
        <v>-70</v>
      </c>
      <c r="R3782" t="n">
        <v>0.0707</v>
      </c>
      <c r="S3782">
        <f>IMAGE("https://mitra.stanford.edu/kundaje/oak/projects/neuro-variants/variant_position/credible/roussos_2024/variant_figures/roussos_2024.childhood.GLU/rs1525674_count_position.png",4,220,900)</f>
        <v/>
      </c>
      <c r="T3782">
        <f>IMAGE("https://mitra.stanford.edu/kundaje/oak/projects/neuro-variants/variant_position/credible/roussos_2024/variant_figures/roussos_2024.childhood.GLU/rs1525674_profile_position.png",4,220,900)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0.0009288879999999</v>
      </c>
      <c r="G3783" t="n">
        <v>0.6705165205616761</v>
      </c>
      <c r="H3783" t="n">
        <v>0.0124248476015303</v>
      </c>
      <c r="I3783" t="n">
        <v>0.4191949351401984</v>
      </c>
      <c r="J3783" t="n">
        <v>0.0615008190219126</v>
      </c>
      <c r="K3783" t="n">
        <v>0.3349052139074326</v>
      </c>
      <c r="L3783" t="b">
        <v>0</v>
      </c>
      <c r="M3783" t="b">
        <v>0</v>
      </c>
      <c r="N3783" t="inlineStr">
        <is>
          <t>alt</t>
        </is>
      </c>
      <c r="O3783" t="n">
        <v>80</v>
      </c>
      <c r="P3783" t="n">
        <v>0.0123</v>
      </c>
      <c r="Q3783" t="n">
        <v>80</v>
      </c>
      <c r="R3783" t="n">
        <v>0.391</v>
      </c>
      <c r="S3783">
        <f>IMAGE("https://mitra.stanford.edu/kundaje/oak/projects/neuro-variants/variant_position/credible/roussos_2024/variant_figures/roussos_2024.childhood.GLU/rs214475_count_position.png",4,220,900)</f>
        <v/>
      </c>
      <c r="T3783">
        <f>IMAGE("https://mitra.stanford.edu/kundaje/oak/projects/neuro-variants/variant_position/credible/roussos_2024/variant_figures/roussos_2024.childhood.GLU/rs214475_profile_position.png",4,220,900)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0.2338274279999999</v>
      </c>
      <c r="G3784" t="n">
        <v>0.0046350553468501</v>
      </c>
      <c r="H3784" t="n">
        <v>0.034418623535155</v>
      </c>
      <c r="I3784" t="n">
        <v>0.0125113996092846</v>
      </c>
      <c r="J3784" t="n">
        <v>0.0154686968794749</v>
      </c>
      <c r="K3784" t="n">
        <v>0.5254603809983277</v>
      </c>
      <c r="L3784" t="b">
        <v>1</v>
      </c>
      <c r="M3784" t="b">
        <v>1</v>
      </c>
      <c r="N3784" t="inlineStr">
        <is>
          <t>alt</t>
        </is>
      </c>
      <c r="O3784" t="n">
        <v>15</v>
      </c>
      <c r="P3784" t="n">
        <v>0.002136</v>
      </c>
      <c r="Q3784" t="n">
        <v>-10</v>
      </c>
      <c r="R3784" t="n">
        <v>0.004395</v>
      </c>
      <c r="S3784">
        <f>IMAGE("https://mitra.stanford.edu/kundaje/oak/projects/neuro-variants/variant_position/credible/roussos_2024/variant_figures/roussos_2024.childhood.GLU/rs6959670_count_position.png",4,220,900)</f>
        <v/>
      </c>
      <c r="T3784">
        <f>IMAGE("https://mitra.stanford.edu/kundaje/oak/projects/neuro-variants/variant_position/credible/roussos_2024/variant_figures/roussos_2024.childhood.GLU/rs6959670_profile_position.png",4,220,900)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-0.01932789434</v>
      </c>
      <c r="G3785" t="n">
        <v>0.4915699718319572</v>
      </c>
      <c r="H3785" t="n">
        <v>0.0158191846809308</v>
      </c>
      <c r="I3785" t="n">
        <v>0.207758984103358</v>
      </c>
      <c r="J3785" t="n">
        <v>0.134714166503549</v>
      </c>
      <c r="K3785" t="n">
        <v>0.2009473256291165</v>
      </c>
      <c r="L3785" t="b">
        <v>0</v>
      </c>
      <c r="M3785" t="b">
        <v>0</v>
      </c>
      <c r="N3785" t="inlineStr">
        <is>
          <t>ref</t>
        </is>
      </c>
      <c r="O3785" t="n">
        <v>65</v>
      </c>
      <c r="P3785" t="n">
        <v>0.01074</v>
      </c>
      <c r="Q3785" t="n">
        <v>65</v>
      </c>
      <c r="R3785" t="n">
        <v>0.01563</v>
      </c>
      <c r="S3785">
        <f>IMAGE("https://mitra.stanford.edu/kundaje/oak/projects/neuro-variants/variant_position/credible/roussos_2024/variant_figures/roussos_2024.childhood.GLU/rs13239254_count_position.png",4,220,900)</f>
        <v/>
      </c>
      <c r="T3785">
        <f>IMAGE("https://mitra.stanford.edu/kundaje/oak/projects/neuro-variants/variant_position/credible/roussos_2024/variant_figures/roussos_2024.childhood.GLU/rs13239254_profile_position.png",4,220,900)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-0.0533958378</v>
      </c>
      <c r="G3786" t="n">
        <v>0.179467575792759</v>
      </c>
      <c r="H3786" t="n">
        <v>0.0166824842016543</v>
      </c>
      <c r="I3786" t="n">
        <v>0.1782308788042688</v>
      </c>
      <c r="J3786" t="n">
        <v>0.0127685001081726</v>
      </c>
      <c r="K3786" t="n">
        <v>0.554305355989819</v>
      </c>
      <c r="L3786" t="b">
        <v>0</v>
      </c>
      <c r="M3786" t="b">
        <v>0</v>
      </c>
      <c r="N3786" t="inlineStr">
        <is>
          <t>ref</t>
        </is>
      </c>
      <c r="O3786" t="n">
        <v>-90</v>
      </c>
      <c r="P3786" t="n">
        <v>0.016</v>
      </c>
      <c r="Q3786" t="n">
        <v>-95</v>
      </c>
      <c r="R3786" t="n">
        <v>0.0271</v>
      </c>
      <c r="S3786">
        <f>IMAGE("https://mitra.stanford.edu/kundaje/oak/projects/neuro-variants/variant_position/credible/roussos_2024/variant_figures/roussos_2024.childhood.GLU/rs35426637_count_position.png",4,220,900)</f>
        <v/>
      </c>
      <c r="T3786">
        <f>IMAGE("https://mitra.stanford.edu/kundaje/oak/projects/neuro-variants/variant_position/credible/roussos_2024/variant_figures/roussos_2024.childhood.GLU/rs35426637_profile_position.png",4,220,900)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-0.09497167079999989</v>
      </c>
      <c r="G3787" t="n">
        <v>0.0552747285515678</v>
      </c>
      <c r="H3787" t="n">
        <v>0.0240522785350817</v>
      </c>
      <c r="I3787" t="n">
        <v>0.0530461861011618</v>
      </c>
      <c r="J3787" t="n">
        <v>0.0224401701917232</v>
      </c>
      <c r="K3787" t="n">
        <v>0.478895966112741</v>
      </c>
      <c r="L3787" t="b">
        <v>0</v>
      </c>
      <c r="M3787" t="b">
        <v>0</v>
      </c>
      <c r="N3787" t="inlineStr">
        <is>
          <t>ref</t>
        </is>
      </c>
      <c r="O3787" t="n">
        <v>-100</v>
      </c>
      <c r="P3787" t="n">
        <v>0.008149999999999999</v>
      </c>
      <c r="Q3787" t="n">
        <v>0</v>
      </c>
      <c r="R3787" t="n">
        <v>0</v>
      </c>
      <c r="S3787">
        <f>IMAGE("https://mitra.stanford.edu/kundaje/oak/projects/neuro-variants/variant_position/credible/roussos_2024/variant_figures/roussos_2024.childhood.GLU/rs59369558_count_position.png",4,220,900)</f>
        <v/>
      </c>
      <c r="T3787">
        <f>IMAGE("https://mitra.stanford.edu/kundaje/oak/projects/neuro-variants/variant_position/credible/roussos_2024/variant_figures/roussos_2024.childhood.GLU/rs59369558_profile_position.png",4,220,900)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-0.1125068019999999</v>
      </c>
      <c r="G3788" t="n">
        <v>0.0429662710111144</v>
      </c>
      <c r="H3788" t="n">
        <v>0.033404824553556</v>
      </c>
      <c r="I3788" t="n">
        <v>0.0145166344697485</v>
      </c>
      <c r="J3788" t="n">
        <v>0.0087939258450348</v>
      </c>
      <c r="K3788" t="n">
        <v>0.6205528396594059</v>
      </c>
      <c r="L3788" t="b">
        <v>0</v>
      </c>
      <c r="M3788" t="b">
        <v>0</v>
      </c>
      <c r="N3788" t="inlineStr">
        <is>
          <t>ref</t>
        </is>
      </c>
      <c r="O3788" t="n">
        <v>85</v>
      </c>
      <c r="P3788" t="n">
        <v>0.00795</v>
      </c>
      <c r="Q3788" t="n">
        <v>85</v>
      </c>
      <c r="R3788" t="n">
        <v>0.1233</v>
      </c>
      <c r="S3788">
        <f>IMAGE("https://mitra.stanford.edu/kundaje/oak/projects/neuro-variants/variant_position/credible/roussos_2024/variant_figures/roussos_2024.childhood.GLU/rs12706031_count_position.png",4,220,900)</f>
        <v/>
      </c>
      <c r="T3788">
        <f>IMAGE("https://mitra.stanford.edu/kundaje/oak/projects/neuro-variants/variant_position/credible/roussos_2024/variant_figures/roussos_2024.childhood.GLU/rs12706031_profile_position.png",4,220,900)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-0.1717248428</v>
      </c>
      <c r="G3789" t="n">
        <v>0.0171676271056795</v>
      </c>
      <c r="H3789" t="n">
        <v>0.0257045441365503</v>
      </c>
      <c r="I3789" t="n">
        <v>0.055234027952912</v>
      </c>
      <c r="J3789" t="n">
        <v>0.1563373752150575</v>
      </c>
      <c r="K3789" t="n">
        <v>0.1853945831130457</v>
      </c>
      <c r="L3789" t="b">
        <v>1</v>
      </c>
      <c r="M3789" t="b">
        <v>0</v>
      </c>
      <c r="N3789" t="inlineStr">
        <is>
          <t>ref</t>
        </is>
      </c>
      <c r="O3789" t="n">
        <v>-100</v>
      </c>
      <c r="P3789" t="n">
        <v>0.0653</v>
      </c>
      <c r="Q3789" t="n">
        <v>-100</v>
      </c>
      <c r="R3789" t="n">
        <v>0.06226</v>
      </c>
      <c r="S3789">
        <f>IMAGE("https://mitra.stanford.edu/kundaje/oak/projects/neuro-variants/variant_position/credible/roussos_2024/variant_figures/roussos_2024.childhood.GLU/rs2401924_count_position.png",4,220,900)</f>
        <v/>
      </c>
      <c r="T3789">
        <f>IMAGE("https://mitra.stanford.edu/kundaje/oak/projects/neuro-variants/variant_position/credible/roussos_2024/variant_figures/roussos_2024.childhood.GLU/rs2401924_profile_position.png",4,220,900)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0.1072136469999999</v>
      </c>
      <c r="G3790" t="n">
        <v>0.0536103967868975</v>
      </c>
      <c r="H3790" t="n">
        <v>0.0253535609613639</v>
      </c>
      <c r="I3790" t="n">
        <v>0.0462173495932904</v>
      </c>
      <c r="J3790" t="n">
        <v>0.1139151307859519</v>
      </c>
      <c r="K3790" t="n">
        <v>0.2273603614784325</v>
      </c>
      <c r="L3790" t="b">
        <v>0</v>
      </c>
      <c r="M3790" t="b">
        <v>0</v>
      </c>
      <c r="N3790" t="inlineStr">
        <is>
          <t>alt</t>
        </is>
      </c>
      <c r="O3790" t="n">
        <v>-100</v>
      </c>
      <c r="P3790" t="n">
        <v>0.00944</v>
      </c>
      <c r="Q3790" t="n">
        <v>100</v>
      </c>
      <c r="R3790" t="n">
        <v>0.1335</v>
      </c>
      <c r="S3790">
        <f>IMAGE("https://mitra.stanford.edu/kundaje/oak/projects/neuro-variants/variant_position/credible/roussos_2024/variant_figures/roussos_2024.childhood.GLU/rs62474713_count_position.png",4,220,900)</f>
        <v/>
      </c>
      <c r="T3790">
        <f>IMAGE("https://mitra.stanford.edu/kundaje/oak/projects/neuro-variants/variant_position/credible/roussos_2024/variant_figures/roussos_2024.childhood.GLU/rs62474713_profile_position.png",4,220,900)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0.0462357162</v>
      </c>
      <c r="G3791" t="n">
        <v>0.1935813750097285</v>
      </c>
      <c r="H3791" t="n">
        <v>0.0174953724614434</v>
      </c>
      <c r="I3791" t="n">
        <v>0.1560152486739686</v>
      </c>
      <c r="J3791" t="n">
        <v>0.0364861384404586</v>
      </c>
      <c r="K3791" t="n">
        <v>0.4044950526002861</v>
      </c>
      <c r="L3791" t="b">
        <v>0</v>
      </c>
      <c r="M3791" t="b">
        <v>0</v>
      </c>
      <c r="N3791" t="inlineStr">
        <is>
          <t>alt</t>
        </is>
      </c>
      <c r="O3791" t="n">
        <v>-100</v>
      </c>
      <c r="P3791" t="n">
        <v>0.1043</v>
      </c>
      <c r="Q3791" t="n">
        <v>-100</v>
      </c>
      <c r="R3791" t="n">
        <v>0.005615</v>
      </c>
      <c r="S3791">
        <f>IMAGE("https://mitra.stanford.edu/kundaje/oak/projects/neuro-variants/variant_position/credible/roussos_2024/variant_figures/roussos_2024.childhood.GLU/rs2401925_count_position.png",4,220,900)</f>
        <v/>
      </c>
      <c r="T3791">
        <f>IMAGE("https://mitra.stanford.edu/kundaje/oak/projects/neuro-variants/variant_position/credible/roussos_2024/variant_figures/roussos_2024.childhood.GLU/rs2401925_profile_position.png",4,220,900)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-0.0883574244</v>
      </c>
      <c r="G3792" t="n">
        <v>0.0650417607438767</v>
      </c>
      <c r="H3792" t="n">
        <v>0.0211448312769493</v>
      </c>
      <c r="I3792" t="n">
        <v>0.08338443859046191</v>
      </c>
      <c r="J3792" t="n">
        <v>0.0569297495544314</v>
      </c>
      <c r="K3792" t="n">
        <v>0.3565642866131395</v>
      </c>
      <c r="L3792" t="b">
        <v>0</v>
      </c>
      <c r="M3792" t="b">
        <v>0</v>
      </c>
      <c r="N3792" t="inlineStr">
        <is>
          <t>ref</t>
        </is>
      </c>
      <c r="O3792" t="n">
        <v>90</v>
      </c>
      <c r="P3792" t="n">
        <v>0.02295</v>
      </c>
      <c r="Q3792" t="n">
        <v>70</v>
      </c>
      <c r="R3792" t="n">
        <v>0.1233</v>
      </c>
      <c r="S3792">
        <f>IMAGE("https://mitra.stanford.edu/kundaje/oak/projects/neuro-variants/variant_position/credible/roussos_2024/variant_figures/roussos_2024.childhood.GLU/rs1358394_count_position.png",4,220,900)</f>
        <v/>
      </c>
      <c r="T3792">
        <f>IMAGE("https://mitra.stanford.edu/kundaje/oak/projects/neuro-variants/variant_position/credible/roussos_2024/variant_figures/roussos_2024.childhood.GLU/rs1358394_profile_position.png",4,220,900)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0.0285249658</v>
      </c>
      <c r="G3793" t="n">
        <v>0.351717068376882</v>
      </c>
      <c r="H3793" t="n">
        <v>0.0183357491961441</v>
      </c>
      <c r="I3793" t="n">
        <v>0.1313328788615601</v>
      </c>
      <c r="J3793" t="n">
        <v>0.0001864691398724</v>
      </c>
      <c r="K3793" t="n">
        <v>0.9210250993387308</v>
      </c>
      <c r="L3793" t="b">
        <v>0</v>
      </c>
      <c r="M3793" t="b">
        <v>0</v>
      </c>
      <c r="N3793" t="inlineStr">
        <is>
          <t>alt</t>
        </is>
      </c>
      <c r="O3793" t="n">
        <v>75</v>
      </c>
      <c r="P3793" t="n">
        <v>0.001663</v>
      </c>
      <c r="Q3793" t="n">
        <v>-95</v>
      </c>
      <c r="R3793" t="n">
        <v>0.07654</v>
      </c>
      <c r="S3793">
        <f>IMAGE("https://mitra.stanford.edu/kundaje/oak/projects/neuro-variants/variant_position/credible/roussos_2024/variant_figures/roussos_2024.childhood.GLU/rs4730682_count_position.png",4,220,900)</f>
        <v/>
      </c>
      <c r="T3793">
        <f>IMAGE("https://mitra.stanford.edu/kundaje/oak/projects/neuro-variants/variant_position/credible/roussos_2024/variant_figures/roussos_2024.childhood.GLU/rs4730682_profile_position.png",4,220,900)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-0.01640983888</v>
      </c>
      <c r="G3794" t="n">
        <v>0.5460872927061881</v>
      </c>
      <c r="H3794" t="n">
        <v>0.0208113204649647</v>
      </c>
      <c r="I3794" t="n">
        <v>0.0869875135503896</v>
      </c>
      <c r="J3794" t="n">
        <v>0.2024498542244016</v>
      </c>
      <c r="K3794" t="n">
        <v>0.1483139895578194</v>
      </c>
      <c r="L3794" t="b">
        <v>0</v>
      </c>
      <c r="M3794" t="b">
        <v>0</v>
      </c>
      <c r="N3794" t="inlineStr">
        <is>
          <t>ref</t>
        </is>
      </c>
      <c r="O3794" t="n">
        <v>-80</v>
      </c>
      <c r="P3794" t="n">
        <v>0.0786</v>
      </c>
      <c r="Q3794" t="n">
        <v>-85</v>
      </c>
      <c r="R3794" t="n">
        <v>0.1326</v>
      </c>
      <c r="S3794">
        <f>IMAGE("https://mitra.stanford.edu/kundaje/oak/projects/neuro-variants/variant_position/credible/roussos_2024/variant_figures/roussos_2024.childhood.GLU/rs10269552_count_position.png",4,220,900)</f>
        <v/>
      </c>
      <c r="T3794">
        <f>IMAGE("https://mitra.stanford.edu/kundaje/oak/projects/neuro-variants/variant_position/credible/roussos_2024/variant_figures/roussos_2024.childhood.GLU/rs10269552_profile_position.png",4,220,900)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0.121600968</v>
      </c>
      <c r="G3795" t="n">
        <v>0.0276892146594604</v>
      </c>
      <c r="H3795" t="n">
        <v>0.0172540420890876</v>
      </c>
      <c r="I3795" t="n">
        <v>0.16194182466503</v>
      </c>
      <c r="J3795" t="n">
        <v>0.4016390740416413</v>
      </c>
      <c r="K3795" t="n">
        <v>0.0637604990087348</v>
      </c>
      <c r="L3795" t="b">
        <v>0</v>
      </c>
      <c r="M3795" t="b">
        <v>0</v>
      </c>
      <c r="N3795" t="inlineStr">
        <is>
          <t>alt</t>
        </is>
      </c>
      <c r="O3795" t="n">
        <v>40</v>
      </c>
      <c r="P3795" t="n">
        <v>0.001839</v>
      </c>
      <c r="Q3795" t="n">
        <v>25</v>
      </c>
      <c r="R3795" t="n">
        <v>0.01813</v>
      </c>
      <c r="S3795">
        <f>IMAGE("https://mitra.stanford.edu/kundaje/oak/projects/neuro-variants/variant_position/credible/roussos_2024/variant_figures/roussos_2024.childhood.GLU/rs73238074_count_position.png",4,220,900)</f>
        <v/>
      </c>
      <c r="T3795">
        <f>IMAGE("https://mitra.stanford.edu/kundaje/oak/projects/neuro-variants/variant_position/credible/roussos_2024/variant_figures/roussos_2024.childhood.GLU/rs73238074_profile_position.png",4,220,900)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-0.086006788</v>
      </c>
      <c r="G3796" t="n">
        <v>0.06484277528979721</v>
      </c>
      <c r="H3796" t="n">
        <v>0.0151955176215353</v>
      </c>
      <c r="I3796" t="n">
        <v>0.2408853933449288</v>
      </c>
      <c r="J3796" t="n">
        <v>0.3764976768623734</v>
      </c>
      <c r="K3796" t="n">
        <v>0.0709488252953033</v>
      </c>
      <c r="L3796" t="b">
        <v>0</v>
      </c>
      <c r="M3796" t="b">
        <v>0</v>
      </c>
      <c r="N3796" t="inlineStr">
        <is>
          <t>ref</t>
        </is>
      </c>
      <c r="O3796" t="n">
        <v>-100</v>
      </c>
      <c r="P3796" t="n">
        <v>0.001118</v>
      </c>
      <c r="Q3796" t="n">
        <v>-100</v>
      </c>
      <c r="R3796" t="n">
        <v>0.04053</v>
      </c>
      <c r="S3796">
        <f>IMAGE("https://mitra.stanford.edu/kundaje/oak/projects/neuro-variants/variant_position/credible/roussos_2024/variant_figures/roussos_2024.childhood.GLU/rs3757753_count_position.png",4,220,900)</f>
        <v/>
      </c>
      <c r="T3796">
        <f>IMAGE("https://mitra.stanford.edu/kundaje/oak/projects/neuro-variants/variant_position/credible/roussos_2024/variant_figures/roussos_2024.childhood.GLU/rs3757753_profile_position.png",4,220,900)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0.0649502844</v>
      </c>
      <c r="G3797" t="n">
        <v>0.1070663960541848</v>
      </c>
      <c r="H3797" t="n">
        <v>0.015489342928437</v>
      </c>
      <c r="I3797" t="n">
        <v>0.2388856787616546</v>
      </c>
      <c r="J3797" t="n">
        <v>0.598200212224546</v>
      </c>
      <c r="K3797" t="n">
        <v>0.0270854995764581</v>
      </c>
      <c r="L3797" t="b">
        <v>0</v>
      </c>
      <c r="M3797" t="b">
        <v>0</v>
      </c>
      <c r="N3797" t="inlineStr">
        <is>
          <t>alt</t>
        </is>
      </c>
      <c r="O3797" t="n">
        <v>75</v>
      </c>
      <c r="P3797" t="n">
        <v>0.001995</v>
      </c>
      <c r="Q3797" t="n">
        <v>65</v>
      </c>
      <c r="R3797" t="n">
        <v>0.04712</v>
      </c>
      <c r="S3797">
        <f>IMAGE("https://mitra.stanford.edu/kundaje/oak/projects/neuro-variants/variant_position/credible/roussos_2024/variant_figures/roussos_2024.childhood.GLU/rs322832_count_position.png",4,220,900)</f>
        <v/>
      </c>
      <c r="T3797">
        <f>IMAGE("https://mitra.stanford.edu/kundaje/oak/projects/neuro-variants/variant_position/credible/roussos_2024/variant_figures/roussos_2024.childhood.GLU/rs322832_profile_position.png",4,220,900)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0.0149839438</v>
      </c>
      <c r="G3798" t="n">
        <v>0.533649194867989</v>
      </c>
      <c r="H3798" t="n">
        <v>0.0286676183438459</v>
      </c>
      <c r="I3798" t="n">
        <v>0.0254719365150835</v>
      </c>
      <c r="J3798" t="n">
        <v>0.0778987709520227</v>
      </c>
      <c r="K3798" t="n">
        <v>0.2805768041821707</v>
      </c>
      <c r="L3798" t="b">
        <v>0</v>
      </c>
      <c r="M3798" t="b">
        <v>0</v>
      </c>
      <c r="N3798" t="inlineStr">
        <is>
          <t>alt</t>
        </is>
      </c>
      <c r="O3798" t="n">
        <v>-100</v>
      </c>
      <c r="P3798" t="n">
        <v>0.000246</v>
      </c>
      <c r="Q3798" t="n">
        <v>-85</v>
      </c>
      <c r="R3798" t="n">
        <v>0.04645</v>
      </c>
      <c r="S3798">
        <f>IMAGE("https://mitra.stanford.edu/kundaje/oak/projects/neuro-variants/variant_position/credible/roussos_2024/variant_figures/roussos_2024.childhood.GLU/rs6954161_count_position.png",4,220,900)</f>
        <v/>
      </c>
      <c r="T3798">
        <f>IMAGE("https://mitra.stanford.edu/kundaje/oak/projects/neuro-variants/variant_position/credible/roussos_2024/variant_figures/roussos_2024.childhood.GLU/rs6954161_profile_position.png",4,220,900)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0.05648659</v>
      </c>
      <c r="G3799" t="n">
        <v>0.1415005395073118</v>
      </c>
      <c r="H3799" t="n">
        <v>0.0161076115938949</v>
      </c>
      <c r="I3799" t="n">
        <v>0.2091735891452369</v>
      </c>
      <c r="J3799" t="n">
        <v>0.1219003368807112</v>
      </c>
      <c r="K3799" t="n">
        <v>0.218512359969718</v>
      </c>
      <c r="L3799" t="b">
        <v>0</v>
      </c>
      <c r="M3799" t="b">
        <v>0</v>
      </c>
      <c r="N3799" t="inlineStr">
        <is>
          <t>alt</t>
        </is>
      </c>
      <c r="O3799" t="n">
        <v>-45</v>
      </c>
      <c r="P3799" t="n">
        <v>0.002415</v>
      </c>
      <c r="Q3799" t="n">
        <v>75</v>
      </c>
      <c r="R3799" t="n">
        <v>0.1436</v>
      </c>
      <c r="S3799">
        <f>IMAGE("https://mitra.stanford.edu/kundaje/oak/projects/neuro-variants/variant_position/credible/roussos_2024/variant_figures/roussos_2024.childhood.GLU/rs6954389_count_position.png",4,220,900)</f>
        <v/>
      </c>
      <c r="T3799">
        <f>IMAGE("https://mitra.stanford.edu/kundaje/oak/projects/neuro-variants/variant_position/credible/roussos_2024/variant_figures/roussos_2024.childhood.GLU/rs6954389_profile_position.png",4,220,900)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-0.2362919</v>
      </c>
      <c r="G3800" t="n">
        <v>0.0047925361301212</v>
      </c>
      <c r="H3800" t="n">
        <v>0.0315168765022551</v>
      </c>
      <c r="I3800" t="n">
        <v>0.0207071363579753</v>
      </c>
      <c r="J3800" t="n">
        <v>0.4081860982620252</v>
      </c>
      <c r="K3800" t="n">
        <v>0.0622989948217704</v>
      </c>
      <c r="L3800" t="b">
        <v>1</v>
      </c>
      <c r="M3800" t="b">
        <v>1</v>
      </c>
      <c r="N3800" t="inlineStr">
        <is>
          <t>ref</t>
        </is>
      </c>
      <c r="O3800" t="n">
        <v>-35</v>
      </c>
      <c r="P3800" t="n">
        <v>0.002533</v>
      </c>
      <c r="Q3800" t="n">
        <v>-5</v>
      </c>
      <c r="R3800" t="n">
        <v>0.001221</v>
      </c>
      <c r="S3800">
        <f>IMAGE("https://mitra.stanford.edu/kundaje/oak/projects/neuro-variants/variant_position/credible/roussos_2024/variant_figures/roussos_2024.childhood.GLU/rs7792971_count_position.png",4,220,900)</f>
        <v/>
      </c>
      <c r="T3800">
        <f>IMAGE("https://mitra.stanford.edu/kundaje/oak/projects/neuro-variants/variant_position/credible/roussos_2024/variant_figures/roussos_2024.childhood.GLU/rs7792971_profile_position.png",4,220,900)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-0.00692326412</v>
      </c>
      <c r="G3801" t="n">
        <v>0.6676949902511071</v>
      </c>
      <c r="H3801" t="n">
        <v>0.0069277532021535</v>
      </c>
      <c r="I3801" t="n">
        <v>0.9374506999994652</v>
      </c>
      <c r="J3801" t="n">
        <v>0.1395747267351416</v>
      </c>
      <c r="K3801" t="n">
        <v>0.1971465007018819</v>
      </c>
      <c r="L3801" t="b">
        <v>0</v>
      </c>
      <c r="M3801" t="b">
        <v>0</v>
      </c>
      <c r="N3801" t="inlineStr">
        <is>
          <t>ref</t>
        </is>
      </c>
      <c r="O3801" t="n">
        <v>-55</v>
      </c>
      <c r="P3801" t="n">
        <v>0.00771</v>
      </c>
      <c r="Q3801" t="n">
        <v>-90</v>
      </c>
      <c r="R3801" t="n">
        <v>0.0847</v>
      </c>
      <c r="S3801">
        <f>IMAGE("https://mitra.stanford.edu/kundaje/oak/projects/neuro-variants/variant_position/credible/roussos_2024/variant_figures/roussos_2024.childhood.GLU/rs6467161_count_position.png",4,220,900)</f>
        <v/>
      </c>
      <c r="T3801">
        <f>IMAGE("https://mitra.stanford.edu/kundaje/oak/projects/neuro-variants/variant_position/credible/roussos_2024/variant_figures/roussos_2024.childhood.GLU/rs6467161_profile_position.png",4,220,900)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-0.0277455488</v>
      </c>
      <c r="G3802" t="n">
        <v>0.3653152856581003</v>
      </c>
      <c r="H3802" t="n">
        <v>0.0124158132780664</v>
      </c>
      <c r="I3802" t="n">
        <v>0.4142122708685804</v>
      </c>
      <c r="J3802" t="n">
        <v>0.6367591457446918</v>
      </c>
      <c r="K3802" t="n">
        <v>0.0219084711172011</v>
      </c>
      <c r="L3802" t="b">
        <v>0</v>
      </c>
      <c r="M3802" t="b">
        <v>0</v>
      </c>
      <c r="N3802" t="inlineStr">
        <is>
          <t>ref</t>
        </is>
      </c>
      <c r="O3802" t="n">
        <v>-15</v>
      </c>
      <c r="P3802" t="n">
        <v>0.00119</v>
      </c>
      <c r="Q3802" t="n">
        <v>100</v>
      </c>
      <c r="R3802" t="n">
        <v>0.074</v>
      </c>
      <c r="S3802">
        <f>IMAGE("https://mitra.stanford.edu/kundaje/oak/projects/neuro-variants/variant_position/credible/roussos_2024/variant_figures/roussos_2024.childhood.GLU/rs7803473_count_position.png",4,220,900)</f>
        <v/>
      </c>
      <c r="T3802">
        <f>IMAGE("https://mitra.stanford.edu/kundaje/oak/projects/neuro-variants/variant_position/credible/roussos_2024/variant_figures/roussos_2024.childhood.GLU/rs7803473_profile_position.png",4,220,900)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-0.372853808</v>
      </c>
      <c r="G3803" t="n">
        <v>0.000930352513459</v>
      </c>
      <c r="H3803" t="n">
        <v>0.06604673863501501</v>
      </c>
      <c r="I3803" t="n">
        <v>0.0009980923771093001</v>
      </c>
      <c r="J3803" t="n">
        <v>0.792216716288749</v>
      </c>
      <c r="K3803" t="n">
        <v>0.0076706232264496</v>
      </c>
      <c r="L3803" t="b">
        <v>1</v>
      </c>
      <c r="M3803" t="b">
        <v>1</v>
      </c>
      <c r="N3803" t="inlineStr">
        <is>
          <t>ref</t>
        </is>
      </c>
      <c r="O3803" t="n">
        <v>35</v>
      </c>
      <c r="P3803" t="n">
        <v>0.009339999999999999</v>
      </c>
      <c r="Q3803" t="n">
        <v>70</v>
      </c>
      <c r="R3803" t="n">
        <v>0.1655</v>
      </c>
      <c r="S3803">
        <f>IMAGE("https://mitra.stanford.edu/kundaje/oak/projects/neuro-variants/variant_position/credible/roussos_2024/variant_figures/roussos_2024.childhood.GLU/rs6467163_count_position.png",4,220,900)</f>
        <v/>
      </c>
      <c r="T3803">
        <f>IMAGE("https://mitra.stanford.edu/kundaje/oak/projects/neuro-variants/variant_position/credible/roussos_2024/variant_figures/roussos_2024.childhood.GLU/rs6467163_profile_position.png",4,220,900)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-0.0387489925999999</v>
      </c>
      <c r="G3804" t="n">
        <v>0.2664684091146065</v>
      </c>
      <c r="H3804" t="n">
        <v>0.0108423328781463</v>
      </c>
      <c r="I3804" t="n">
        <v>0.5524828726797627</v>
      </c>
      <c r="J3804" t="n">
        <v>0.0709427508834103</v>
      </c>
      <c r="K3804" t="n">
        <v>0.3002747241324642</v>
      </c>
      <c r="L3804" t="b">
        <v>0</v>
      </c>
      <c r="M3804" t="b">
        <v>0</v>
      </c>
      <c r="N3804" t="inlineStr">
        <is>
          <t>ref</t>
        </is>
      </c>
      <c r="O3804" t="n">
        <v>5</v>
      </c>
      <c r="P3804" t="n">
        <v>0.0003815</v>
      </c>
      <c r="Q3804" t="n">
        <v>-85</v>
      </c>
      <c r="R3804" t="n">
        <v>0.10455</v>
      </c>
      <c r="S3804">
        <f>IMAGE("https://mitra.stanford.edu/kundaje/oak/projects/neuro-variants/variant_position/credible/roussos_2024/variant_figures/roussos_2024.childhood.GLU/rs73239723_count_position.png",4,220,900)</f>
        <v/>
      </c>
      <c r="T3804">
        <f>IMAGE("https://mitra.stanford.edu/kundaje/oak/projects/neuro-variants/variant_position/credible/roussos_2024/variant_figures/roussos_2024.childhood.GLU/rs73239723_profile_position.png",4,220,900)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-0.0252164668</v>
      </c>
      <c r="G3805" t="n">
        <v>0.409083846479672</v>
      </c>
      <c r="H3805" t="n">
        <v>0.0073355381228589</v>
      </c>
      <c r="I3805" t="n">
        <v>0.9181556871049584</v>
      </c>
      <c r="J3805" t="n">
        <v>0.3065851422213522</v>
      </c>
      <c r="K3805" t="n">
        <v>0.0939871157891668</v>
      </c>
      <c r="L3805" t="b">
        <v>0</v>
      </c>
      <c r="M3805" t="b">
        <v>0</v>
      </c>
      <c r="N3805" t="inlineStr">
        <is>
          <t>ref</t>
        </is>
      </c>
      <c r="O3805" t="n">
        <v>100</v>
      </c>
      <c r="P3805" t="n">
        <v>0.012856</v>
      </c>
      <c r="Q3805" t="n">
        <v>85</v>
      </c>
      <c r="R3805" t="n">
        <v>0.2256</v>
      </c>
      <c r="S3805">
        <f>IMAGE("https://mitra.stanford.edu/kundaje/oak/projects/neuro-variants/variant_position/credible/roussos_2024/variant_figures/roussos_2024.childhood.GLU/rs142949934_count_position.png",4,220,900)</f>
        <v/>
      </c>
      <c r="T3805">
        <f>IMAGE("https://mitra.stanford.edu/kundaje/oak/projects/neuro-variants/variant_position/credible/roussos_2024/variant_figures/roussos_2024.childhood.GLU/rs142949934_profile_position.png",4,220,900)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0.004614818</v>
      </c>
      <c r="G3806" t="n">
        <v>0.306355987109675</v>
      </c>
      <c r="H3806" t="n">
        <v>0.0183372489305132</v>
      </c>
      <c r="I3806" t="n">
        <v>0.1351261524477744</v>
      </c>
      <c r="J3806" t="n">
        <v>0.0093842397519238</v>
      </c>
      <c r="K3806" t="n">
        <v>0.5931450096978084</v>
      </c>
      <c r="L3806" t="b">
        <v>0</v>
      </c>
      <c r="M3806" t="b">
        <v>0</v>
      </c>
      <c r="N3806" t="inlineStr">
        <is>
          <t>alt</t>
        </is>
      </c>
      <c r="O3806" t="n">
        <v>-60</v>
      </c>
      <c r="P3806" t="n">
        <v>0.002838</v>
      </c>
      <c r="Q3806" t="n">
        <v>10</v>
      </c>
      <c r="R3806" t="n">
        <v>0.01453</v>
      </c>
      <c r="S3806">
        <f>IMAGE("https://mitra.stanford.edu/kundaje/oak/projects/neuro-variants/variant_position/credible/roussos_2024/variant_figures/roussos_2024.childhood.GLU/rs2122628_count_position.png",4,220,900)</f>
        <v/>
      </c>
      <c r="T3806">
        <f>IMAGE("https://mitra.stanford.edu/kundaje/oak/projects/neuro-variants/variant_position/credible/roussos_2024/variant_figures/roussos_2024.childhood.GLU/rs2122628_profile_position.png",4,220,900)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0.0325660374</v>
      </c>
      <c r="G3807" t="n">
        <v>0.2892590941309951</v>
      </c>
      <c r="H3807" t="n">
        <v>0.0136270119417045</v>
      </c>
      <c r="I3807" t="n">
        <v>0.3287419291664301</v>
      </c>
      <c r="J3807" t="n">
        <v>0.3580011744465163</v>
      </c>
      <c r="K3807" t="n">
        <v>0.0769231024879547</v>
      </c>
      <c r="L3807" t="b">
        <v>0</v>
      </c>
      <c r="M3807" t="b">
        <v>0</v>
      </c>
      <c r="N3807" t="inlineStr">
        <is>
          <t>alt</t>
        </is>
      </c>
      <c r="O3807" t="n">
        <v>0</v>
      </c>
      <c r="P3807" t="n">
        <v>0</v>
      </c>
      <c r="Q3807" t="n">
        <v>90</v>
      </c>
      <c r="R3807" t="n">
        <v>0.07543999999999999</v>
      </c>
      <c r="S3807">
        <f>IMAGE("https://mitra.stanford.edu/kundaje/oak/projects/neuro-variants/variant_position/credible/roussos_2024/variant_figures/roussos_2024.childhood.GLU/rs10245775_count_position.png",4,220,900)</f>
        <v/>
      </c>
      <c r="T3807">
        <f>IMAGE("https://mitra.stanford.edu/kundaje/oak/projects/neuro-variants/variant_position/credible/roussos_2024/variant_figures/roussos_2024.childhood.GLU/rs10245775_profile_position.png",4,220,900)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-0.004169556214</v>
      </c>
      <c r="G3808" t="n">
        <v>0.7596330043455701</v>
      </c>
      <c r="H3808" t="n">
        <v>0.0128806532383311</v>
      </c>
      <c r="I3808" t="n">
        <v>0.3822238968988138</v>
      </c>
      <c r="J3808" t="n">
        <v>0.2657350077781326</v>
      </c>
      <c r="K3808" t="n">
        <v>0.1116358074772284</v>
      </c>
      <c r="L3808" t="b">
        <v>0</v>
      </c>
      <c r="M3808" t="b">
        <v>0</v>
      </c>
      <c r="N3808" t="inlineStr">
        <is>
          <t>ref</t>
        </is>
      </c>
      <c r="O3808" t="n">
        <v>95</v>
      </c>
      <c r="P3808" t="n">
        <v>0.005623</v>
      </c>
      <c r="Q3808" t="n">
        <v>-45</v>
      </c>
      <c r="R3808" t="n">
        <v>0.05692</v>
      </c>
      <c r="S3808">
        <f>IMAGE("https://mitra.stanford.edu/kundaje/oak/projects/neuro-variants/variant_position/credible/roussos_2024/variant_figures/roussos_2024.childhood.GLU/rs6944918_count_position.png",4,220,900)</f>
        <v/>
      </c>
      <c r="T3808">
        <f>IMAGE("https://mitra.stanford.edu/kundaje/oak/projects/neuro-variants/variant_position/credible/roussos_2024/variant_figures/roussos_2024.childhood.GLU/rs6944918_profile_position.png",4,220,900)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-0.0489340664</v>
      </c>
      <c r="G3809" t="n">
        <v>0.1892455705677937</v>
      </c>
      <c r="H3809" t="n">
        <v>0.021124688057274</v>
      </c>
      <c r="I3809" t="n">
        <v>0.08406550025818239</v>
      </c>
      <c r="J3809" t="n">
        <v>0.2892754489167276</v>
      </c>
      <c r="K3809" t="n">
        <v>0.1011042398238967</v>
      </c>
      <c r="L3809" t="b">
        <v>0</v>
      </c>
      <c r="M3809" t="b">
        <v>0</v>
      </c>
      <c r="N3809" t="inlineStr">
        <is>
          <t>ref</t>
        </is>
      </c>
      <c r="O3809" t="n">
        <v>25</v>
      </c>
      <c r="P3809" t="n">
        <v>0.00712</v>
      </c>
      <c r="Q3809" t="n">
        <v>70</v>
      </c>
      <c r="R3809" t="n">
        <v>0.0344</v>
      </c>
      <c r="S3809">
        <f>IMAGE("https://mitra.stanford.edu/kundaje/oak/projects/neuro-variants/variant_position/credible/roussos_2024/variant_figures/roussos_2024.childhood.GLU/rs6945544_count_position.png",4,220,900)</f>
        <v/>
      </c>
      <c r="T3809">
        <f>IMAGE("https://mitra.stanford.edu/kundaje/oak/projects/neuro-variants/variant_position/credible/roussos_2024/variant_figures/roussos_2024.childhood.GLU/rs6945544_profile_position.png",4,220,900)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0.212930372</v>
      </c>
      <c r="G3810" t="n">
        <v>0.0075110755885012</v>
      </c>
      <c r="H3810" t="n">
        <v>0.0276587550930797</v>
      </c>
      <c r="I3810" t="n">
        <v>0.0327622434702331</v>
      </c>
      <c r="J3810" t="n">
        <v>0.0564300946768726</v>
      </c>
      <c r="K3810" t="n">
        <v>0.3301442095465706</v>
      </c>
      <c r="L3810" t="b">
        <v>1</v>
      </c>
      <c r="M3810" t="b">
        <v>1</v>
      </c>
      <c r="N3810" t="inlineStr">
        <is>
          <t>alt</t>
        </is>
      </c>
      <c r="O3810" t="n">
        <v>-85</v>
      </c>
      <c r="P3810" t="n">
        <v>0.0359</v>
      </c>
      <c r="Q3810" t="n">
        <v>75</v>
      </c>
      <c r="R3810" t="n">
        <v>0.1157</v>
      </c>
      <c r="S3810">
        <f>IMAGE("https://mitra.stanford.edu/kundaje/oak/projects/neuro-variants/variant_position/credible/roussos_2024/variant_figures/roussos_2024.childhood.GLU/rs11975170_count_position.png",4,220,900)</f>
        <v/>
      </c>
      <c r="T3810">
        <f>IMAGE("https://mitra.stanford.edu/kundaje/oak/projects/neuro-variants/variant_position/credible/roussos_2024/variant_figures/roussos_2024.childhood.GLU/rs11975170_profile_position.png",4,220,900)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0.020404385454</v>
      </c>
      <c r="G3811" t="n">
        <v>0.4704659340682347</v>
      </c>
      <c r="H3811" t="n">
        <v>0.0244401103723603</v>
      </c>
      <c r="I3811" t="n">
        <v>0.0483295914278</v>
      </c>
      <c r="J3811" t="n">
        <v>0.1950219951167749</v>
      </c>
      <c r="K3811" t="n">
        <v>0.1613820441266893</v>
      </c>
      <c r="L3811" t="b">
        <v>0</v>
      </c>
      <c r="M3811" t="b">
        <v>0</v>
      </c>
      <c r="N3811" t="inlineStr">
        <is>
          <t>alt</t>
        </is>
      </c>
      <c r="O3811" t="n">
        <v>75</v>
      </c>
      <c r="P3811" t="n">
        <v>0.02832</v>
      </c>
      <c r="Q3811" t="n">
        <v>100</v>
      </c>
      <c r="R3811" t="n">
        <v>0.06128</v>
      </c>
      <c r="S3811">
        <f>IMAGE("https://mitra.stanford.edu/kundaje/oak/projects/neuro-variants/variant_position/credible/roussos_2024/variant_figures/roussos_2024.childhood.GLU/rs10954343_count_position.png",4,220,900)</f>
        <v/>
      </c>
      <c r="T3811">
        <f>IMAGE("https://mitra.stanford.edu/kundaje/oak/projects/neuro-variants/variant_position/credible/roussos_2024/variant_figures/roussos_2024.childhood.GLU/rs10954343_profile_position.png",4,220,900)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0.0142105879</v>
      </c>
      <c r="G3812" t="n">
        <v>0.5634183865930954</v>
      </c>
      <c r="H3812" t="n">
        <v>0.0081755432833322</v>
      </c>
      <c r="I3812" t="n">
        <v>0.8538252186798032</v>
      </c>
      <c r="J3812" t="n">
        <v>0.0067613091988007</v>
      </c>
      <c r="K3812" t="n">
        <v>0.6337468284774205</v>
      </c>
      <c r="L3812" t="b">
        <v>0</v>
      </c>
      <c r="M3812" t="b">
        <v>0</v>
      </c>
      <c r="N3812" t="inlineStr">
        <is>
          <t>alt</t>
        </is>
      </c>
      <c r="O3812" t="n">
        <v>100</v>
      </c>
      <c r="P3812" t="n">
        <v>0.02304</v>
      </c>
      <c r="Q3812" t="n">
        <v>100</v>
      </c>
      <c r="R3812" t="n">
        <v>0.1107</v>
      </c>
      <c r="S3812">
        <f>IMAGE("https://mitra.stanford.edu/kundaje/oak/projects/neuro-variants/variant_position/credible/roussos_2024/variant_figures/roussos_2024.childhood.GLU/rs6955090_count_position.png",4,220,900)</f>
        <v/>
      </c>
      <c r="T3812">
        <f>IMAGE("https://mitra.stanford.edu/kundaje/oak/projects/neuro-variants/variant_position/credible/roussos_2024/variant_figures/roussos_2024.childhood.GLU/rs6955090_profile_position.png",4,220,900)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-0.0095355898599999</v>
      </c>
      <c r="G3813" t="n">
        <v>0.684690028084233</v>
      </c>
      <c r="H3813" t="n">
        <v>0.0146490168232936</v>
      </c>
      <c r="I3813" t="n">
        <v>0.2647232584786645</v>
      </c>
      <c r="J3813" t="n">
        <v>0.0551268711302501</v>
      </c>
      <c r="K3813" t="n">
        <v>0.3431237879786681</v>
      </c>
      <c r="L3813" t="b">
        <v>0</v>
      </c>
      <c r="M3813" t="b">
        <v>0</v>
      </c>
      <c r="N3813" t="inlineStr">
        <is>
          <t>ref</t>
        </is>
      </c>
      <c r="O3813" t="n">
        <v>95</v>
      </c>
      <c r="P3813" t="n">
        <v>0.00396</v>
      </c>
      <c r="Q3813" t="n">
        <v>100</v>
      </c>
      <c r="R3813" t="n">
        <v>0.08260000000000001</v>
      </c>
      <c r="S3813">
        <f>IMAGE("https://mitra.stanford.edu/kundaje/oak/projects/neuro-variants/variant_position/credible/roussos_2024/variant_figures/roussos_2024.childhood.GLU/rs73725651_count_position.png",4,220,900)</f>
        <v/>
      </c>
      <c r="T3813">
        <f>IMAGE("https://mitra.stanford.edu/kundaje/oak/projects/neuro-variants/variant_position/credible/roussos_2024/variant_figures/roussos_2024.childhood.GLU/rs73725651_profile_position.png",4,220,900)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0.00610440444</v>
      </c>
      <c r="G3814" t="n">
        <v>0.7318125778397013</v>
      </c>
      <c r="H3814" t="n">
        <v>0.0136030764747863</v>
      </c>
      <c r="I3814" t="n">
        <v>0.3275613526861324</v>
      </c>
      <c r="J3814" t="n">
        <v>0.0101280558789289</v>
      </c>
      <c r="K3814" t="n">
        <v>0.5865863605371477</v>
      </c>
      <c r="L3814" t="b">
        <v>0</v>
      </c>
      <c r="M3814" t="b">
        <v>0</v>
      </c>
      <c r="N3814" t="inlineStr">
        <is>
          <t>alt</t>
        </is>
      </c>
      <c r="O3814" t="n">
        <v>100</v>
      </c>
      <c r="P3814" t="n">
        <v>0.00536</v>
      </c>
      <c r="Q3814" t="n">
        <v>100</v>
      </c>
      <c r="R3814" t="n">
        <v>0.1608</v>
      </c>
      <c r="S3814">
        <f>IMAGE("https://mitra.stanford.edu/kundaje/oak/projects/neuro-variants/variant_position/credible/roussos_2024/variant_figures/roussos_2024.childhood.GLU/rs7799455_count_position.png",4,220,900)</f>
        <v/>
      </c>
      <c r="T3814">
        <f>IMAGE("https://mitra.stanford.edu/kundaje/oak/projects/neuro-variants/variant_position/credible/roussos_2024/variant_figures/roussos_2024.childhood.GLU/rs7799455_profile_position.png",4,220,900)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-0.1545435456</v>
      </c>
      <c r="G3815" t="n">
        <v>0.0205030070633285</v>
      </c>
      <c r="H3815" t="n">
        <v>0.0309224862869282</v>
      </c>
      <c r="I3815" t="n">
        <v>0.028827749140415</v>
      </c>
      <c r="J3815" t="n">
        <v>0.1509472838348769</v>
      </c>
      <c r="K3815" t="n">
        <v>0.187879667342114</v>
      </c>
      <c r="L3815" t="b">
        <v>0</v>
      </c>
      <c r="M3815" t="b">
        <v>0</v>
      </c>
      <c r="N3815" t="inlineStr">
        <is>
          <t>ref</t>
        </is>
      </c>
      <c r="O3815" t="n">
        <v>-85</v>
      </c>
      <c r="P3815" t="n">
        <v>0.00522</v>
      </c>
      <c r="Q3815" t="n">
        <v>-95</v>
      </c>
      <c r="R3815" t="n">
        <v>0.1372</v>
      </c>
      <c r="S3815">
        <f>IMAGE("https://mitra.stanford.edu/kundaje/oak/projects/neuro-variants/variant_position/credible/roussos_2024/variant_figures/roussos_2024.childhood.GLU/rs10260150_count_position.png",4,220,900)</f>
        <v/>
      </c>
      <c r="T3815">
        <f>IMAGE("https://mitra.stanford.edu/kundaje/oak/projects/neuro-variants/variant_position/credible/roussos_2024/variant_figures/roussos_2024.childhood.GLU/rs10260150_profile_position.png",4,220,900)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0.03698927302</v>
      </c>
      <c r="G3816" t="n">
        <v>0.2772876693197885</v>
      </c>
      <c r="H3816" t="n">
        <v>0.021958322591093</v>
      </c>
      <c r="I3816" t="n">
        <v>0.0713411583843698</v>
      </c>
      <c r="J3816" t="n">
        <v>0.3220785642906446</v>
      </c>
      <c r="K3816" t="n">
        <v>0.0889168567552495</v>
      </c>
      <c r="L3816" t="b">
        <v>0</v>
      </c>
      <c r="M3816" t="b">
        <v>0</v>
      </c>
      <c r="N3816" t="inlineStr">
        <is>
          <t>alt</t>
        </is>
      </c>
      <c r="O3816" t="n">
        <v>-100</v>
      </c>
      <c r="P3816" t="n">
        <v>0.00524</v>
      </c>
      <c r="Q3816" t="n">
        <v>40</v>
      </c>
      <c r="R3816" t="n">
        <v>0.1267</v>
      </c>
      <c r="S3816">
        <f>IMAGE("https://mitra.stanford.edu/kundaje/oak/projects/neuro-variants/variant_position/credible/roussos_2024/variant_figures/roussos_2024.childhood.GLU/rs11772439_count_position.png",4,220,900)</f>
        <v/>
      </c>
      <c r="T3816">
        <f>IMAGE("https://mitra.stanford.edu/kundaje/oak/projects/neuro-variants/variant_position/credible/roussos_2024/variant_figures/roussos_2024.childhood.GLU/rs11772439_profile_position.png",4,220,900)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-0.093314984</v>
      </c>
      <c r="G3817" t="n">
        <v>0.0671970129534957</v>
      </c>
      <c r="H3817" t="n">
        <v>0.0148825632198599</v>
      </c>
      <c r="I3817" t="n">
        <v>0.2590996826997885</v>
      </c>
      <c r="J3817" t="n">
        <v>0.4477175559149866</v>
      </c>
      <c r="K3817" t="n">
        <v>0.0530308496691623</v>
      </c>
      <c r="L3817" t="b">
        <v>0</v>
      </c>
      <c r="M3817" t="b">
        <v>0</v>
      </c>
      <c r="N3817" t="inlineStr">
        <is>
          <t>ref</t>
        </is>
      </c>
      <c r="O3817" t="n">
        <v>40</v>
      </c>
      <c r="P3817" t="n">
        <v>0.002113</v>
      </c>
      <c r="Q3817" t="n">
        <v>-60</v>
      </c>
      <c r="R3817" t="n">
        <v>0.05737</v>
      </c>
      <c r="S3817">
        <f>IMAGE("https://mitra.stanford.edu/kundaje/oak/projects/neuro-variants/variant_position/credible/roussos_2024/variant_figures/roussos_2024.childhood.GLU/rs10954356_count_position.png",4,220,900)</f>
        <v/>
      </c>
      <c r="T3817">
        <f>IMAGE("https://mitra.stanford.edu/kundaje/oak/projects/neuro-variants/variant_position/credible/roussos_2024/variant_figures/roussos_2024.childhood.GLU/rs10954356_profile_position.png",4,220,900)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-0.397762606</v>
      </c>
      <c r="G3818" t="n">
        <v>0.0008535888139087001</v>
      </c>
      <c r="H3818" t="n">
        <v>0.0828516337059929</v>
      </c>
      <c r="I3818" t="n">
        <v>0.0005619754639613</v>
      </c>
      <c r="J3818" t="n">
        <v>0.6359401238319923</v>
      </c>
      <c r="K3818" t="n">
        <v>0.0220820640760611</v>
      </c>
      <c r="L3818" t="b">
        <v>1</v>
      </c>
      <c r="M3818" t="b">
        <v>1</v>
      </c>
      <c r="N3818" t="inlineStr">
        <is>
          <t>ref</t>
        </is>
      </c>
      <c r="O3818" t="n">
        <v>0</v>
      </c>
      <c r="P3818" t="n">
        <v>0</v>
      </c>
      <c r="Q3818" t="n">
        <v>85</v>
      </c>
      <c r="R3818" t="n">
        <v>0.1167</v>
      </c>
      <c r="S3818">
        <f>IMAGE("https://mitra.stanford.edu/kundaje/oak/projects/neuro-variants/variant_position/credible/roussos_2024/variant_figures/roussos_2024.childhood.GLU/rs2122635_count_position.png",4,220,900)</f>
        <v/>
      </c>
      <c r="T3818">
        <f>IMAGE("https://mitra.stanford.edu/kundaje/oak/projects/neuro-variants/variant_position/credible/roussos_2024/variant_figures/roussos_2024.childhood.GLU/rs2122635_profile_position.png",4,220,900)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-0.00259865906</v>
      </c>
      <c r="G3819" t="n">
        <v>0.4137957987415669</v>
      </c>
      <c r="H3819" t="n">
        <v>0.0410334323359349</v>
      </c>
      <c r="I3819" t="n">
        <v>0.0065568670231572</v>
      </c>
      <c r="J3819" t="n">
        <v>0.0124213172344874</v>
      </c>
      <c r="K3819" t="n">
        <v>0.5700613213774725</v>
      </c>
      <c r="L3819" t="b">
        <v>1</v>
      </c>
      <c r="M3819" t="b">
        <v>0</v>
      </c>
      <c r="N3819" t="inlineStr">
        <is>
          <t>ref</t>
        </is>
      </c>
      <c r="O3819" t="n">
        <v>-25</v>
      </c>
      <c r="P3819" t="n">
        <v>0.002459</v>
      </c>
      <c r="Q3819" t="n">
        <v>-55</v>
      </c>
      <c r="R3819" t="n">
        <v>0.0985</v>
      </c>
      <c r="S3819">
        <f>IMAGE("https://mitra.stanford.edu/kundaje/oak/projects/neuro-variants/variant_position/credible/roussos_2024/variant_figures/roussos_2024.childhood.GLU/rs11771579_count_position.png",4,220,900)</f>
        <v/>
      </c>
      <c r="T3819">
        <f>IMAGE("https://mitra.stanford.edu/kundaje/oak/projects/neuro-variants/variant_position/credible/roussos_2024/variant_figures/roussos_2024.childhood.GLU/rs11771579_profile_position.png",4,220,900)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0.0643786096</v>
      </c>
      <c r="G3820" t="n">
        <v>0.1140737875533381</v>
      </c>
      <c r="H3820" t="n">
        <v>0.0102703994265506</v>
      </c>
      <c r="I3820" t="n">
        <v>0.6238555130960091</v>
      </c>
      <c r="J3820" t="n">
        <v>0.0171479493545694</v>
      </c>
      <c r="K3820" t="n">
        <v>0.5178343344236864</v>
      </c>
      <c r="L3820" t="b">
        <v>0</v>
      </c>
      <c r="M3820" t="b">
        <v>0</v>
      </c>
      <c r="N3820" t="inlineStr">
        <is>
          <t>alt</t>
        </is>
      </c>
      <c r="O3820" t="n">
        <v>15</v>
      </c>
      <c r="P3820" t="n">
        <v>0.001057</v>
      </c>
      <c r="Q3820" t="n">
        <v>-70</v>
      </c>
      <c r="R3820" t="n">
        <v>0.0515</v>
      </c>
      <c r="S3820">
        <f>IMAGE("https://mitra.stanford.edu/kundaje/oak/projects/neuro-variants/variant_position/credible/roussos_2024/variant_figures/roussos_2024.childhood.GLU/rs4518583_count_position.png",4,220,900)</f>
        <v/>
      </c>
      <c r="T3820">
        <f>IMAGE("https://mitra.stanford.edu/kundaje/oak/projects/neuro-variants/variant_position/credible/roussos_2024/variant_figures/roussos_2024.childhood.GLU/rs4518583_profile_position.png",4,220,900)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-0.009990856613999999</v>
      </c>
      <c r="G3821" t="n">
        <v>0.6604018600866225</v>
      </c>
      <c r="H3821" t="n">
        <v>0.0206092680676352</v>
      </c>
      <c r="I3821" t="n">
        <v>0.0909239237394021</v>
      </c>
      <c r="J3821" t="n">
        <v>0.1016390740416413</v>
      </c>
      <c r="K3821" t="n">
        <v>0.2560524089413888</v>
      </c>
      <c r="L3821" t="b">
        <v>0</v>
      </c>
      <c r="M3821" t="b">
        <v>0</v>
      </c>
      <c r="N3821" t="inlineStr">
        <is>
          <t>ref</t>
        </is>
      </c>
      <c r="O3821" t="n">
        <v>90</v>
      </c>
      <c r="P3821" t="n">
        <v>0.01073</v>
      </c>
      <c r="Q3821" t="n">
        <v>-100</v>
      </c>
      <c r="R3821" t="n">
        <v>0.1058</v>
      </c>
      <c r="S3821">
        <f>IMAGE("https://mitra.stanford.edu/kundaje/oak/projects/neuro-variants/variant_position/credible/roussos_2024/variant_figures/roussos_2024.childhood.GLU/rs728055_count_position.png",4,220,900)</f>
        <v/>
      </c>
      <c r="T3821">
        <f>IMAGE("https://mitra.stanford.edu/kundaje/oak/projects/neuro-variants/variant_position/credible/roussos_2024/variant_figures/roussos_2024.childhood.GLU/rs728055_profile_position.png",4,220,900)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0.188554002</v>
      </c>
      <c r="G3822" t="n">
        <v>0.009334934263442601</v>
      </c>
      <c r="H3822" t="n">
        <v>0.0301562810773373</v>
      </c>
      <c r="I3822" t="n">
        <v>0.02319869727155</v>
      </c>
      <c r="J3822" t="n">
        <v>0.2524215232777359</v>
      </c>
      <c r="K3822" t="n">
        <v>0.1195592794018363</v>
      </c>
      <c r="L3822" t="b">
        <v>1</v>
      </c>
      <c r="M3822" t="b">
        <v>1</v>
      </c>
      <c r="N3822" t="inlineStr">
        <is>
          <t>alt</t>
        </is>
      </c>
      <c r="O3822" t="n">
        <v>85</v>
      </c>
      <c r="P3822" t="n">
        <v>0.01119</v>
      </c>
      <c r="Q3822" t="n">
        <v>70</v>
      </c>
      <c r="R3822" t="n">
        <v>0.1877</v>
      </c>
      <c r="S3822">
        <f>IMAGE("https://mitra.stanford.edu/kundaje/oak/projects/neuro-variants/variant_position/credible/roussos_2024/variant_figures/roussos_2024.childhood.GLU/rs2278829_count_position.png",4,220,900)</f>
        <v/>
      </c>
      <c r="T3822">
        <f>IMAGE("https://mitra.stanford.edu/kundaje/oak/projects/neuro-variants/variant_position/credible/roussos_2024/variant_figures/roussos_2024.childhood.GLU/rs2278829_profile_position.png",4,220,900)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-0.071761806</v>
      </c>
      <c r="G3823" t="n">
        <v>0.0968099050382113</v>
      </c>
      <c r="H3823" t="n">
        <v>0.0462568117338195</v>
      </c>
      <c r="I3823" t="n">
        <v>0.0039931866402759</v>
      </c>
      <c r="J3823" t="n">
        <v>0.2529252990202643</v>
      </c>
      <c r="K3823" t="n">
        <v>0.1171547830404382</v>
      </c>
      <c r="L3823" t="b">
        <v>1</v>
      </c>
      <c r="M3823" t="b">
        <v>1</v>
      </c>
      <c r="N3823" t="inlineStr">
        <is>
          <t>ref</t>
        </is>
      </c>
      <c r="O3823" t="n">
        <v>35</v>
      </c>
      <c r="P3823" t="n">
        <v>0.002762</v>
      </c>
      <c r="Q3823" t="n">
        <v>-90</v>
      </c>
      <c r="R3823" t="n">
        <v>0.09326</v>
      </c>
      <c r="S3823">
        <f>IMAGE("https://mitra.stanford.edu/kundaje/oak/projects/neuro-variants/variant_position/credible/roussos_2024/variant_figures/roussos_2024.childhood.GLU/rs7779548_count_position.png",4,220,900)</f>
        <v/>
      </c>
      <c r="T3823">
        <f>IMAGE("https://mitra.stanford.edu/kundaje/oak/projects/neuro-variants/variant_position/credible/roussos_2024/variant_figures/roussos_2024.childhood.GLU/rs7779548_profile_position.png",4,220,900)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0.0008590719902</v>
      </c>
      <c r="G3824" t="n">
        <v>0.9182626386921208</v>
      </c>
      <c r="H3824" t="n">
        <v>0.0238840940085891</v>
      </c>
      <c r="I3824" t="n">
        <v>0.0522053612914224</v>
      </c>
      <c r="J3824" t="n">
        <v>0.0002081036809625</v>
      </c>
      <c r="K3824" t="n">
        <v>0.9170277740129344</v>
      </c>
      <c r="L3824" t="b">
        <v>0</v>
      </c>
      <c r="M3824" t="b">
        <v>0</v>
      </c>
      <c r="N3824" t="inlineStr">
        <is>
          <t>alt</t>
        </is>
      </c>
      <c r="O3824" t="n">
        <v>100</v>
      </c>
      <c r="P3824" t="n">
        <v>0.008030000000000001</v>
      </c>
      <c r="Q3824" t="n">
        <v>100</v>
      </c>
      <c r="R3824" t="n">
        <v>0.0752</v>
      </c>
      <c r="S3824">
        <f>IMAGE("https://mitra.stanford.edu/kundaje/oak/projects/neuro-variants/variant_position/credible/roussos_2024/variant_figures/roussos_2024.childhood.GLU/rs11766321_count_position.png",4,220,900)</f>
        <v/>
      </c>
      <c r="T3824">
        <f>IMAGE("https://mitra.stanford.edu/kundaje/oak/projects/neuro-variants/variant_position/credible/roussos_2024/variant_figures/roussos_2024.childhood.GLU/rs11766321_profile_position.png",4,220,900)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0.012844754</v>
      </c>
      <c r="G3825" t="n">
        <v>0.5978000784402698</v>
      </c>
      <c r="H3825" t="n">
        <v>0.0071773883582419</v>
      </c>
      <c r="I3825" t="n">
        <v>0.9327704630583964</v>
      </c>
      <c r="J3825" t="n">
        <v>0.0047997774732916</v>
      </c>
      <c r="K3825" t="n">
        <v>0.6750278589603445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0.1094</v>
      </c>
      <c r="Q3825" t="n">
        <v>-100</v>
      </c>
      <c r="R3825" t="n">
        <v>0.1617</v>
      </c>
      <c r="S3825">
        <f>IMAGE("https://mitra.stanford.edu/kundaje/oak/projects/neuro-variants/variant_position/credible/roussos_2024/variant_figures/roussos_2024.childhood.GLU/rs13222414_count_position.png",4,220,900)</f>
        <v/>
      </c>
      <c r="T3825">
        <f>IMAGE("https://mitra.stanford.edu/kundaje/oak/projects/neuro-variants/variant_position/credible/roussos_2024/variant_figures/roussos_2024.childhood.GLU/rs13222414_profile_position.png",4,220,900)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0.075795742</v>
      </c>
      <c r="G3826" t="n">
        <v>0.080876648138066</v>
      </c>
      <c r="H3826" t="n">
        <v>0.0117626225910775</v>
      </c>
      <c r="I3826" t="n">
        <v>0.475566669364489</v>
      </c>
      <c r="J3826" t="n">
        <v>0.0208979364768664</v>
      </c>
      <c r="K3826" t="n">
        <v>0.4903423695395714</v>
      </c>
      <c r="L3826" t="b">
        <v>0</v>
      </c>
      <c r="M3826" t="b">
        <v>0</v>
      </c>
      <c r="N3826" t="inlineStr">
        <is>
          <t>alt</t>
        </is>
      </c>
      <c r="O3826" t="n">
        <v>100</v>
      </c>
      <c r="P3826" t="n">
        <v>0.006035</v>
      </c>
      <c r="Q3826" t="n">
        <v>-35</v>
      </c>
      <c r="R3826" t="n">
        <v>0.01092</v>
      </c>
      <c r="S3826">
        <f>IMAGE("https://mitra.stanford.edu/kundaje/oak/projects/neuro-variants/variant_position/credible/roussos_2024/variant_figures/roussos_2024.childhood.GLU/rs17530005_count_position.png",4,220,900)</f>
        <v/>
      </c>
      <c r="T3826">
        <f>IMAGE("https://mitra.stanford.edu/kundaje/oak/projects/neuro-variants/variant_position/credible/roussos_2024/variant_figures/roussos_2024.childhood.GLU/rs17530005_profile_position.png",4,220,900)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-0.0480219312</v>
      </c>
      <c r="G3827" t="n">
        <v>0.1902971381183971</v>
      </c>
      <c r="H3827" t="n">
        <v>0.0124721622527764</v>
      </c>
      <c r="I3827" t="n">
        <v>0.4030144284016656</v>
      </c>
      <c r="J3827" t="n">
        <v>0.002358164978829</v>
      </c>
      <c r="K3827" t="n">
        <v>0.7476425811075964</v>
      </c>
      <c r="L3827" t="b">
        <v>0</v>
      </c>
      <c r="M3827" t="b">
        <v>0</v>
      </c>
      <c r="N3827" t="inlineStr">
        <is>
          <t>ref</t>
        </is>
      </c>
      <c r="O3827" t="n">
        <v>100</v>
      </c>
      <c r="P3827" t="n">
        <v>0.02612</v>
      </c>
      <c r="Q3827" t="n">
        <v>-100</v>
      </c>
      <c r="R3827" t="n">
        <v>0.07874</v>
      </c>
      <c r="S3827">
        <f>IMAGE("https://mitra.stanford.edu/kundaje/oak/projects/neuro-variants/variant_position/credible/roussos_2024/variant_figures/roussos_2024.childhood.GLU/rs7801613_count_position.png",4,220,900)</f>
        <v/>
      </c>
      <c r="T3827">
        <f>IMAGE("https://mitra.stanford.edu/kundaje/oak/projects/neuro-variants/variant_position/credible/roussos_2024/variant_figures/roussos_2024.childhood.GLU/rs7801613_profile_position.png",4,220,900)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0.0106207609</v>
      </c>
      <c r="G3828" t="n">
        <v>0.6174908626356983</v>
      </c>
      <c r="H3828" t="n">
        <v>0.0232930630207242</v>
      </c>
      <c r="I3828" t="n">
        <v>0.0564848783916451</v>
      </c>
      <c r="J3828" t="n">
        <v>0.0275253175641566</v>
      </c>
      <c r="K3828" t="n">
        <v>0.4404983003072947</v>
      </c>
      <c r="L3828" t="b">
        <v>0</v>
      </c>
      <c r="M3828" t="b">
        <v>0</v>
      </c>
      <c r="N3828" t="inlineStr">
        <is>
          <t>alt</t>
        </is>
      </c>
      <c r="O3828" t="n">
        <v>-85</v>
      </c>
      <c r="P3828" t="n">
        <v>0.008240000000000001</v>
      </c>
      <c r="Q3828" t="n">
        <v>-85</v>
      </c>
      <c r="R3828" t="n">
        <v>0.0725</v>
      </c>
      <c r="S3828">
        <f>IMAGE("https://mitra.stanford.edu/kundaje/oak/projects/neuro-variants/variant_position/credible/roussos_2024/variant_figures/roussos_2024.childhood.GLU/rs6942519_count_position.png",4,220,900)</f>
        <v/>
      </c>
      <c r="T3828">
        <f>IMAGE("https://mitra.stanford.edu/kundaje/oak/projects/neuro-variants/variant_position/credible/roussos_2024/variant_figures/roussos_2024.childhood.GLU/rs6942519_profile_position.png",4,220,900)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0.00502056816</v>
      </c>
      <c r="G3829" t="n">
        <v>0.7958299941807734</v>
      </c>
      <c r="H3829" t="n">
        <v>0.0299674244009102</v>
      </c>
      <c r="I3829" t="n">
        <v>0.0212627648759496</v>
      </c>
      <c r="J3829" t="n">
        <v>0.0305696065604169</v>
      </c>
      <c r="K3829" t="n">
        <v>0.4231195957747247</v>
      </c>
      <c r="L3829" t="b">
        <v>0</v>
      </c>
      <c r="M3829" t="b">
        <v>0</v>
      </c>
      <c r="N3829" t="inlineStr">
        <is>
          <t>alt</t>
        </is>
      </c>
      <c r="O3829" t="n">
        <v>-100</v>
      </c>
      <c r="P3829" t="n">
        <v>0.01596</v>
      </c>
      <c r="Q3829" t="n">
        <v>-50</v>
      </c>
      <c r="R3829" t="n">
        <v>0.02151</v>
      </c>
      <c r="S3829">
        <f>IMAGE("https://mitra.stanford.edu/kundaje/oak/projects/neuro-variants/variant_position/credible/roussos_2024/variant_figures/roussos_2024.childhood.GLU/rs2355784_count_position.png",4,220,900)</f>
        <v/>
      </c>
      <c r="T3829">
        <f>IMAGE("https://mitra.stanford.edu/kundaje/oak/projects/neuro-variants/variant_position/credible/roussos_2024/variant_figures/roussos_2024.childhood.GLU/rs2355784_profile_position.png",4,220,900)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-0.0163151661</v>
      </c>
      <c r="G3830" t="n">
        <v>0.5317976383885971</v>
      </c>
      <c r="H3830" t="n">
        <v>0.0349804720504531</v>
      </c>
      <c r="I3830" t="n">
        <v>0.0113513023454413</v>
      </c>
      <c r="J3830" t="n">
        <v>0.0032585739746772</v>
      </c>
      <c r="K3830" t="n">
        <v>0.7176094575188435</v>
      </c>
      <c r="L3830" t="b">
        <v>0</v>
      </c>
      <c r="M3830" t="b">
        <v>0</v>
      </c>
      <c r="N3830" t="inlineStr">
        <is>
          <t>ref</t>
        </is>
      </c>
      <c r="O3830" t="n">
        <v>-40</v>
      </c>
      <c r="P3830" t="n">
        <v>0.003006</v>
      </c>
      <c r="Q3830" t="n">
        <v>-100</v>
      </c>
      <c r="R3830" t="n">
        <v>0.06027</v>
      </c>
      <c r="S3830">
        <f>IMAGE("https://mitra.stanford.edu/kundaje/oak/projects/neuro-variants/variant_position/credible/roussos_2024/variant_figures/roussos_2024.childhood.GLU/rs10230398_count_position.png",4,220,900)</f>
        <v/>
      </c>
      <c r="T3830">
        <f>IMAGE("https://mitra.stanford.edu/kundaje/oak/projects/neuro-variants/variant_position/credible/roussos_2024/variant_figures/roussos_2024.childhood.GLU/rs10230398_profile_position.png",4,220,900)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-0.0910868826</v>
      </c>
      <c r="G3831" t="n">
        <v>0.0567654088121275</v>
      </c>
      <c r="H3831" t="n">
        <v>0.0139372180336132</v>
      </c>
      <c r="I3831" t="n">
        <v>0.3098206355955365</v>
      </c>
      <c r="J3831" t="n">
        <v>0.0046833630379016</v>
      </c>
      <c r="K3831" t="n">
        <v>0.6779177586191144</v>
      </c>
      <c r="L3831" t="b">
        <v>0</v>
      </c>
      <c r="M3831" t="b">
        <v>0</v>
      </c>
      <c r="N3831" t="inlineStr">
        <is>
          <t>ref</t>
        </is>
      </c>
      <c r="O3831" t="n">
        <v>-45</v>
      </c>
      <c r="P3831" t="n">
        <v>0.05383</v>
      </c>
      <c r="Q3831" t="n">
        <v>100</v>
      </c>
      <c r="R3831" t="n">
        <v>0.1102</v>
      </c>
      <c r="S3831">
        <f>IMAGE("https://mitra.stanford.edu/kundaje/oak/projects/neuro-variants/variant_position/credible/roussos_2024/variant_figures/roussos_2024.childhood.GLU/rs801089_count_position.png",4,220,900)</f>
        <v/>
      </c>
      <c r="T3831">
        <f>IMAGE("https://mitra.stanford.edu/kundaje/oak/projects/neuro-variants/variant_position/credible/roussos_2024/variant_figures/roussos_2024.childhood.GLU/rs801089_profile_position.png",4,220,900)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0.0531269616</v>
      </c>
      <c r="G3832" t="n">
        <v>0.1752032940066346</v>
      </c>
      <c r="H3832" t="n">
        <v>0.014379086110971</v>
      </c>
      <c r="I3832" t="n">
        <v>0.2919441979837086</v>
      </c>
      <c r="J3832" t="n">
        <v>0.0157447948324352</v>
      </c>
      <c r="K3832" t="n">
        <v>0.5425139415195567</v>
      </c>
      <c r="L3832" t="b">
        <v>0</v>
      </c>
      <c r="M3832" t="b">
        <v>0</v>
      </c>
      <c r="N3832" t="inlineStr">
        <is>
          <t>alt</t>
        </is>
      </c>
      <c r="O3832" t="n">
        <v>90</v>
      </c>
      <c r="P3832" t="n">
        <v>0.01772</v>
      </c>
      <c r="Q3832" t="n">
        <v>15</v>
      </c>
      <c r="R3832" t="n">
        <v>0.02968</v>
      </c>
      <c r="S3832">
        <f>IMAGE("https://mitra.stanford.edu/kundaje/oak/projects/neuro-variants/variant_position/credible/roussos_2024/variant_figures/roussos_2024.childhood.GLU/rs6662_count_position.png",4,220,900)</f>
        <v/>
      </c>
      <c r="T3832">
        <f>IMAGE("https://mitra.stanford.edu/kundaje/oak/projects/neuro-variants/variant_position/credible/roussos_2024/variant_figures/roussos_2024.childhood.GLU/rs6662_profile_position.png",4,220,900)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0.042929576</v>
      </c>
      <c r="G3833" t="n">
        <v>0.2262593270832703</v>
      </c>
      <c r="H3833" t="n">
        <v>0.0106226316327202</v>
      </c>
      <c r="I3833" t="n">
        <v>0.5965511387444392</v>
      </c>
      <c r="J3833" t="n">
        <v>0.0451502570389524</v>
      </c>
      <c r="K3833" t="n">
        <v>0.3822879786382746</v>
      </c>
      <c r="L3833" t="b">
        <v>0</v>
      </c>
      <c r="M3833" t="b">
        <v>0</v>
      </c>
      <c r="N3833" t="inlineStr">
        <is>
          <t>alt</t>
        </is>
      </c>
      <c r="O3833" t="n">
        <v>75</v>
      </c>
      <c r="P3833" t="n">
        <v>0.003403</v>
      </c>
      <c r="Q3833" t="n">
        <v>55</v>
      </c>
      <c r="R3833" t="n">
        <v>0.06195</v>
      </c>
      <c r="S3833">
        <f>IMAGE("https://mitra.stanford.edu/kundaje/oak/projects/neuro-variants/variant_position/credible/roussos_2024/variant_figures/roussos_2024.childhood.GLU/rs246745_count_position.png",4,220,900)</f>
        <v/>
      </c>
      <c r="T3833">
        <f>IMAGE("https://mitra.stanford.edu/kundaje/oak/projects/neuro-variants/variant_position/credible/roussos_2024/variant_figures/roussos_2024.childhood.GLU/rs246745_profile_position.png",4,220,900)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-0.02245997592</v>
      </c>
      <c r="G3834" t="n">
        <v>0.3022271692680399</v>
      </c>
      <c r="H3834" t="n">
        <v>0.0170456763049725</v>
      </c>
      <c r="I3834" t="n">
        <v>0.1716287259324652</v>
      </c>
      <c r="J3834" t="n">
        <v>0.0589840007417556</v>
      </c>
      <c r="K3834" t="n">
        <v>0.3436805401814792</v>
      </c>
      <c r="L3834" t="b">
        <v>0</v>
      </c>
      <c r="M3834" t="b">
        <v>0</v>
      </c>
      <c r="N3834" t="inlineStr">
        <is>
          <t>ref</t>
        </is>
      </c>
      <c r="O3834" t="n">
        <v>-15</v>
      </c>
      <c r="P3834" t="n">
        <v>0.009094</v>
      </c>
      <c r="Q3834" t="n">
        <v>-15</v>
      </c>
      <c r="R3834" t="n">
        <v>0.00903</v>
      </c>
      <c r="S3834">
        <f>IMAGE("https://mitra.stanford.edu/kundaje/oak/projects/neuro-variants/variant_position/credible/roussos_2024/variant_figures/roussos_2024.childhood.GLU/rs1089258_count_position.png",4,220,900)</f>
        <v/>
      </c>
      <c r="T3834">
        <f>IMAGE("https://mitra.stanford.edu/kundaje/oak/projects/neuro-variants/variant_position/credible/roussos_2024/variant_figures/roussos_2024.childhood.GLU/rs1089258_profile_position.png",4,220,900)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-0.1252786249999999</v>
      </c>
      <c r="G3835" t="n">
        <v>0.0269920498025288</v>
      </c>
      <c r="H3835" t="n">
        <v>0.0182608524664697</v>
      </c>
      <c r="I3835" t="n">
        <v>0.1345086336209441</v>
      </c>
      <c r="J3835" t="n">
        <v>0.391197832425026</v>
      </c>
      <c r="K3835" t="n">
        <v>0.06693781806755431</v>
      </c>
      <c r="L3835" t="b">
        <v>0</v>
      </c>
      <c r="M3835" t="b">
        <v>0</v>
      </c>
      <c r="N3835" t="inlineStr">
        <is>
          <t>ref</t>
        </is>
      </c>
      <c r="O3835" t="n">
        <v>-95</v>
      </c>
      <c r="P3835" t="n">
        <v>0.003073</v>
      </c>
      <c r="Q3835" t="n">
        <v>90</v>
      </c>
      <c r="R3835" t="n">
        <v>0.0261</v>
      </c>
      <c r="S3835">
        <f>IMAGE("https://mitra.stanford.edu/kundaje/oak/projects/neuro-variants/variant_position/credible/roussos_2024/variant_figures/roussos_2024.childhood.GLU/rs10241251_count_position.png",4,220,900)</f>
        <v/>
      </c>
      <c r="T3835">
        <f>IMAGE("https://mitra.stanford.edu/kundaje/oak/projects/neuro-variants/variant_position/credible/roussos_2024/variant_figures/roussos_2024.childhood.GLU/rs10241251_profile_position.png",4,220,900)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-0.0253472586</v>
      </c>
      <c r="G3836" t="n">
        <v>0.3888459888058406</v>
      </c>
      <c r="H3836" t="n">
        <v>0.0102298830923402</v>
      </c>
      <c r="I3836" t="n">
        <v>0.6377476945045812</v>
      </c>
      <c r="J3836" t="n">
        <v>0.3485685145312001</v>
      </c>
      <c r="K3836" t="n">
        <v>0.07949202807668081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0.001522</v>
      </c>
      <c r="Q3836" t="n">
        <v>-60</v>
      </c>
      <c r="R3836" t="n">
        <v>0.08185000000000001</v>
      </c>
      <c r="S3836">
        <f>IMAGE("https://mitra.stanford.edu/kundaje/oak/projects/neuro-variants/variant_position/credible/roussos_2024/variant_figures/roussos_2024.childhood.GLU/rs10244667_count_position.png",4,220,900)</f>
        <v/>
      </c>
      <c r="T3836">
        <f>IMAGE("https://mitra.stanford.edu/kundaje/oak/projects/neuro-variants/variant_position/credible/roussos_2024/variant_figures/roussos_2024.childhood.GLU/rs10244667_profile_position.png",4,220,900)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-0.0664657568</v>
      </c>
      <c r="G3837" t="n">
        <v>0.1128740799891983</v>
      </c>
      <c r="H3837" t="n">
        <v>0.0132847350956829</v>
      </c>
      <c r="I3837" t="n">
        <v>0.3469171231119453</v>
      </c>
      <c r="J3837" t="n">
        <v>0.2081376780986328</v>
      </c>
      <c r="K3837" t="n">
        <v>0.1440422260948369</v>
      </c>
      <c r="L3837" t="b">
        <v>0</v>
      </c>
      <c r="M3837" t="b">
        <v>0</v>
      </c>
      <c r="N3837" t="inlineStr">
        <is>
          <t>ref</t>
        </is>
      </c>
      <c r="O3837" t="n">
        <v>35</v>
      </c>
      <c r="P3837" t="n">
        <v>0.005566</v>
      </c>
      <c r="Q3837" t="n">
        <v>100</v>
      </c>
      <c r="R3837" t="n">
        <v>0.0635</v>
      </c>
      <c r="S3837">
        <f>IMAGE("https://mitra.stanford.edu/kundaje/oak/projects/neuro-variants/variant_position/credible/roussos_2024/variant_figures/roussos_2024.childhood.GLU/rs2366647_count_position.png",4,220,900)</f>
        <v/>
      </c>
      <c r="T3837">
        <f>IMAGE("https://mitra.stanford.edu/kundaje/oak/projects/neuro-variants/variant_position/credible/roussos_2024/variant_figures/roussos_2024.childhood.GLU/rs2366647_profile_position.png",4,220,900)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-0.4233555939999999</v>
      </c>
      <c r="G3838" t="n">
        <v>0.0005843380751348</v>
      </c>
      <c r="H3838" t="n">
        <v>0.0506845244925184</v>
      </c>
      <c r="I3838" t="n">
        <v>0.0028408570780612</v>
      </c>
      <c r="J3838" t="n">
        <v>0.4595825563785839</v>
      </c>
      <c r="K3838" t="n">
        <v>0.0503268546373397</v>
      </c>
      <c r="L3838" t="b">
        <v>1</v>
      </c>
      <c r="M3838" t="b">
        <v>1</v>
      </c>
      <c r="N3838" t="inlineStr">
        <is>
          <t>ref</t>
        </is>
      </c>
      <c r="O3838" t="n">
        <v>-10</v>
      </c>
      <c r="P3838" t="n">
        <v>0.0007324</v>
      </c>
      <c r="Q3838" t="n">
        <v>75</v>
      </c>
      <c r="R3838" t="n">
        <v>0.03418</v>
      </c>
      <c r="S3838">
        <f>IMAGE("https://mitra.stanford.edu/kundaje/oak/projects/neuro-variants/variant_position/credible/roussos_2024/variant_figures/roussos_2024.childhood.GLU/rs13261217_count_position.png",4,220,900)</f>
        <v/>
      </c>
      <c r="T3838">
        <f>IMAGE("https://mitra.stanford.edu/kundaje/oak/projects/neuro-variants/variant_position/credible/roussos_2024/variant_figures/roussos_2024.childhood.GLU/rs13261217_profile_position.png",4,220,900)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0.06644342139999999</v>
      </c>
      <c r="G3839" t="n">
        <v>0.1032068620216443</v>
      </c>
      <c r="H3839" t="n">
        <v>0.0151474052646758</v>
      </c>
      <c r="I3839" t="n">
        <v>0.2479833174183288</v>
      </c>
      <c r="J3839" t="n">
        <v>0.0613225916119793</v>
      </c>
      <c r="K3839" t="n">
        <v>0.3201487030640248</v>
      </c>
      <c r="L3839" t="b">
        <v>0</v>
      </c>
      <c r="M3839" t="b">
        <v>0</v>
      </c>
      <c r="N3839" t="inlineStr">
        <is>
          <t>alt</t>
        </is>
      </c>
      <c r="O3839" t="n">
        <v>-100</v>
      </c>
      <c r="P3839" t="n">
        <v>0.01611</v>
      </c>
      <c r="Q3839" t="n">
        <v>90</v>
      </c>
      <c r="R3839" t="n">
        <v>0.1667</v>
      </c>
      <c r="S3839">
        <f>IMAGE("https://mitra.stanford.edu/kundaje/oak/projects/neuro-variants/variant_position/credible/roussos_2024/variant_figures/roussos_2024.childhood.GLU/rs7813162_count_position.png",4,220,900)</f>
        <v/>
      </c>
      <c r="T3839">
        <f>IMAGE("https://mitra.stanford.edu/kundaje/oak/projects/neuro-variants/variant_position/credible/roussos_2024/variant_figures/roussos_2024.childhood.GLU/rs7813162_profile_position.png",4,220,900)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0.246391596</v>
      </c>
      <c r="G3840" t="n">
        <v>0.0038787809226105</v>
      </c>
      <c r="H3840" t="n">
        <v>0.0330215739842517</v>
      </c>
      <c r="I3840" t="n">
        <v>0.0157663717923635</v>
      </c>
      <c r="J3840" t="n">
        <v>0.1012589242481996</v>
      </c>
      <c r="K3840" t="n">
        <v>0.244748005157389</v>
      </c>
      <c r="L3840" t="b">
        <v>1</v>
      </c>
      <c r="M3840" t="b">
        <v>1</v>
      </c>
      <c r="N3840" t="inlineStr">
        <is>
          <t>alt</t>
        </is>
      </c>
      <c r="O3840" t="n">
        <v>10</v>
      </c>
      <c r="P3840" t="n">
        <v>0.0004272</v>
      </c>
      <c r="Q3840" t="n">
        <v>-90</v>
      </c>
      <c r="R3840" t="n">
        <v>0.01221</v>
      </c>
      <c r="S3840">
        <f>IMAGE("https://mitra.stanford.edu/kundaje/oak/projects/neuro-variants/variant_position/credible/roussos_2024/variant_figures/roussos_2024.childhood.GLU/rs1230767_count_position.png",4,220,900)</f>
        <v/>
      </c>
      <c r="T3840">
        <f>IMAGE("https://mitra.stanford.edu/kundaje/oak/projects/neuro-variants/variant_position/credible/roussos_2024/variant_figures/roussos_2024.childhood.GLU/rs1230767_profile_position.png",4,220,900)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-0.07526207159999999</v>
      </c>
      <c r="G3841" t="n">
        <v>0.0961808477585479</v>
      </c>
      <c r="H3841" t="n">
        <v>0.0187650117614275</v>
      </c>
      <c r="I3841" t="n">
        <v>0.1307294486154732</v>
      </c>
      <c r="J3841" t="n">
        <v>0.0524421276025837</v>
      </c>
      <c r="K3841" t="n">
        <v>0.3457654182970414</v>
      </c>
      <c r="L3841" t="b">
        <v>0</v>
      </c>
      <c r="M3841" t="b">
        <v>0</v>
      </c>
      <c r="N3841" t="inlineStr">
        <is>
          <t>ref</t>
        </is>
      </c>
      <c r="O3841" t="n">
        <v>-50</v>
      </c>
      <c r="P3841" t="n">
        <v>0.0043</v>
      </c>
      <c r="Q3841" t="n">
        <v>90</v>
      </c>
      <c r="R3841" t="n">
        <v>0.0558</v>
      </c>
      <c r="S3841">
        <f>IMAGE("https://mitra.stanford.edu/kundaje/oak/projects/neuro-variants/variant_position/credible/roussos_2024/variant_figures/roussos_2024.childhood.GLU/rs12679687_count_position.png",4,220,900)</f>
        <v/>
      </c>
      <c r="T3841">
        <f>IMAGE("https://mitra.stanford.edu/kundaje/oak/projects/neuro-variants/variant_position/credible/roussos_2024/variant_figures/roussos_2024.childhood.GLU/rs12679687_profile_position.png",4,220,900)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0.00055084008</v>
      </c>
      <c r="G3842" t="n">
        <v>0.8774726918125458</v>
      </c>
      <c r="H3842" t="n">
        <v>0.0174574781581986</v>
      </c>
      <c r="I3842" t="n">
        <v>0.1539805919342123</v>
      </c>
      <c r="J3842" t="n">
        <v>0.0807658627545921</v>
      </c>
      <c r="K3842" t="n">
        <v>0.2844607180247344</v>
      </c>
      <c r="L3842" t="b">
        <v>0</v>
      </c>
      <c r="M3842" t="b">
        <v>0</v>
      </c>
      <c r="N3842" t="inlineStr">
        <is>
          <t>alt</t>
        </is>
      </c>
      <c r="O3842" t="n">
        <v>-55</v>
      </c>
      <c r="P3842" t="n">
        <v>0.00476</v>
      </c>
      <c r="Q3842" t="n">
        <v>100</v>
      </c>
      <c r="R3842" t="n">
        <v>0.2139</v>
      </c>
      <c r="S3842">
        <f>IMAGE("https://mitra.stanford.edu/kundaje/oak/projects/neuro-variants/variant_position/credible/roussos_2024/variant_figures/roussos_2024.childhood.GLU/rs2952245_count_position.png",4,220,900)</f>
        <v/>
      </c>
      <c r="T3842">
        <f>IMAGE("https://mitra.stanford.edu/kundaje/oak/projects/neuro-variants/variant_position/credible/roussos_2024/variant_figures/roussos_2024.childhood.GLU/rs2952245_profile_position.png",4,220,900)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0.0333235127999999</v>
      </c>
      <c r="G3843" t="n">
        <v>0.2951457058733431</v>
      </c>
      <c r="H3843" t="n">
        <v>0.0400990306727627</v>
      </c>
      <c r="I3843" t="n">
        <v>0.007399933138332</v>
      </c>
      <c r="J3843" t="n">
        <v>0.4466595238340528</v>
      </c>
      <c r="K3843" t="n">
        <v>0.0529145805107207</v>
      </c>
      <c r="L3843" t="b">
        <v>1</v>
      </c>
      <c r="M3843" t="b">
        <v>1</v>
      </c>
      <c r="N3843" t="inlineStr">
        <is>
          <t>alt</t>
        </is>
      </c>
      <c r="O3843" t="n">
        <v>100</v>
      </c>
      <c r="P3843" t="n">
        <v>0.03406</v>
      </c>
      <c r="Q3843" t="n">
        <v>-65</v>
      </c>
      <c r="R3843" t="n">
        <v>0.0426</v>
      </c>
      <c r="S3843">
        <f>IMAGE("https://mitra.stanford.edu/kundaje/oak/projects/neuro-variants/variant_position/credible/roussos_2024/variant_figures/roussos_2024.childhood.GLU/rs11250001_count_position.png",4,220,900)</f>
        <v/>
      </c>
      <c r="T3843">
        <f>IMAGE("https://mitra.stanford.edu/kundaje/oak/projects/neuro-variants/variant_position/credible/roussos_2024/variant_figures/roussos_2024.childhood.GLU/rs11250001_profile_position.png",4,220,900)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0.0514483158</v>
      </c>
      <c r="G3844" t="n">
        <v>0.161840253579928</v>
      </c>
      <c r="H3844" t="n">
        <v>0.012985810958118</v>
      </c>
      <c r="I3844" t="n">
        <v>0.3706735316046667</v>
      </c>
      <c r="J3844" t="n">
        <v>0.1192423789753469</v>
      </c>
      <c r="K3844" t="n">
        <v>0.2199475773998912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0.004158</v>
      </c>
      <c r="Q3844" t="n">
        <v>-45</v>
      </c>
      <c r="R3844" t="n">
        <v>0.07915999999999999</v>
      </c>
      <c r="S3844">
        <f>IMAGE("https://mitra.stanford.edu/kundaje/oak/projects/neuro-variants/variant_position/credible/roussos_2024/variant_figures/roussos_2024.childhood.GLU/rs35388602_count_position.png",4,220,900)</f>
        <v/>
      </c>
      <c r="T3844">
        <f>IMAGE("https://mitra.stanford.edu/kundaje/oak/projects/neuro-variants/variant_position/credible/roussos_2024/variant_figures/roussos_2024.childhood.GLU/rs35388602_profile_position.png",4,220,900)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-0.033784958</v>
      </c>
      <c r="G3845" t="n">
        <v>0.3004443171629792</v>
      </c>
      <c r="H3845" t="n">
        <v>0.0176159283325149</v>
      </c>
      <c r="I3845" t="n">
        <v>0.1480207302306773</v>
      </c>
      <c r="J3845" t="n">
        <v>0.0962160157417041</v>
      </c>
      <c r="K3845" t="n">
        <v>0.2525700711002163</v>
      </c>
      <c r="L3845" t="b">
        <v>0</v>
      </c>
      <c r="M3845" t="b">
        <v>0</v>
      </c>
      <c r="N3845" t="inlineStr">
        <is>
          <t>ref</t>
        </is>
      </c>
      <c r="O3845" t="n">
        <v>-40</v>
      </c>
      <c r="P3845" t="n">
        <v>0.005936</v>
      </c>
      <c r="Q3845" t="n">
        <v>-40</v>
      </c>
      <c r="R3845" t="n">
        <v>0.02832</v>
      </c>
      <c r="S3845">
        <f>IMAGE("https://mitra.stanford.edu/kundaje/oak/projects/neuro-variants/variant_position/credible/roussos_2024/variant_figures/roussos_2024.childhood.GLU/rs7839817_count_position.png",4,220,900)</f>
        <v/>
      </c>
      <c r="T3845">
        <f>IMAGE("https://mitra.stanford.edu/kundaje/oak/projects/neuro-variants/variant_position/credible/roussos_2024/variant_figures/roussos_2024.childhood.GLU/rs7839817_profile_position.png",4,220,900)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0.160609014</v>
      </c>
      <c r="G3846" t="n">
        <v>0.0150431386060779</v>
      </c>
      <c r="H3846" t="n">
        <v>0.0321647952818088</v>
      </c>
      <c r="I3846" t="n">
        <v>0.0165476648603855</v>
      </c>
      <c r="J3846" t="n">
        <v>0.0106771611361224</v>
      </c>
      <c r="K3846" t="n">
        <v>0.5834527739221058</v>
      </c>
      <c r="L3846" t="b">
        <v>1</v>
      </c>
      <c r="M3846" t="b">
        <v>0</v>
      </c>
      <c r="N3846" t="inlineStr">
        <is>
          <t>alt</t>
        </is>
      </c>
      <c r="O3846" t="n">
        <v>85</v>
      </c>
      <c r="P3846" t="n">
        <v>0.00701</v>
      </c>
      <c r="Q3846" t="n">
        <v>5</v>
      </c>
      <c r="R3846" t="n">
        <v>0.02563</v>
      </c>
      <c r="S3846">
        <f>IMAGE("https://mitra.stanford.edu/kundaje/oak/projects/neuro-variants/variant_position/credible/roussos_2024/variant_figures/roussos_2024.childhood.GLU/rs5012670_count_position.png",4,220,900)</f>
        <v/>
      </c>
      <c r="T3846">
        <f>IMAGE("https://mitra.stanford.edu/kundaje/oak/projects/neuro-variants/variant_position/credible/roussos_2024/variant_figures/roussos_2024.childhood.GLU/rs5012670_profile_position.png",4,220,900)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0.1522757891999999</v>
      </c>
      <c r="G3847" t="n">
        <v>0.0179805491933562</v>
      </c>
      <c r="H3847" t="n">
        <v>0.0258158294617077</v>
      </c>
      <c r="I3847" t="n">
        <v>0.0394595588707154</v>
      </c>
      <c r="J3847" t="n">
        <v>0.1035460043063038</v>
      </c>
      <c r="K3847" t="n">
        <v>0.2394526958447174</v>
      </c>
      <c r="L3847" t="b">
        <v>1</v>
      </c>
      <c r="M3847" t="b">
        <v>0</v>
      </c>
      <c r="N3847" t="inlineStr">
        <is>
          <t>alt</t>
        </is>
      </c>
      <c r="O3847" t="n">
        <v>20</v>
      </c>
      <c r="P3847" t="n">
        <v>0.002373</v>
      </c>
      <c r="Q3847" t="n">
        <v>20</v>
      </c>
      <c r="R3847" t="n">
        <v>0.04834</v>
      </c>
      <c r="S3847">
        <f>IMAGE("https://mitra.stanford.edu/kundaje/oak/projects/neuro-variants/variant_position/credible/roussos_2024/variant_figures/roussos_2024.childhood.GLU/rs13267233_count_position.png",4,220,900)</f>
        <v/>
      </c>
      <c r="T3847">
        <f>IMAGE("https://mitra.stanford.edu/kundaje/oak/projects/neuro-variants/variant_position/credible/roussos_2024/variant_figures/roussos_2024.childhood.GLU/rs13267233_profile_position.png",4,220,900)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-0.188762434</v>
      </c>
      <c r="G3848" t="n">
        <v>0.0124832282470776</v>
      </c>
      <c r="H3848" t="n">
        <v>0.0276963010539661</v>
      </c>
      <c r="I3848" t="n">
        <v>0.0365462178312018</v>
      </c>
      <c r="J3848" t="n">
        <v>0.07668620643473061</v>
      </c>
      <c r="K3848" t="n">
        <v>0.2876575172710403</v>
      </c>
      <c r="L3848" t="b">
        <v>1</v>
      </c>
      <c r="M3848" t="b">
        <v>0</v>
      </c>
      <c r="N3848" t="inlineStr">
        <is>
          <t>ref</t>
        </is>
      </c>
      <c r="O3848" t="n">
        <v>-85</v>
      </c>
      <c r="P3848" t="n">
        <v>0.003052</v>
      </c>
      <c r="Q3848" t="n">
        <v>-95</v>
      </c>
      <c r="R3848" t="n">
        <v>0.04883</v>
      </c>
      <c r="S3848">
        <f>IMAGE("https://mitra.stanford.edu/kundaje/oak/projects/neuro-variants/variant_position/credible/roussos_2024/variant_figures/roussos_2024.childhood.GLU/rs13267570_count_position.png",4,220,900)</f>
        <v/>
      </c>
      <c r="T3848">
        <f>IMAGE("https://mitra.stanford.edu/kundaje/oak/projects/neuro-variants/variant_position/credible/roussos_2024/variant_figures/roussos_2024.childhood.GLU/rs13267570_profile_position.png",4,220,900)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-0.0065514346</v>
      </c>
      <c r="G3849" t="n">
        <v>0.3239858290215119</v>
      </c>
      <c r="H3849" t="n">
        <v>0.0175082578713569</v>
      </c>
      <c r="I3849" t="n">
        <v>0.1635977053290015</v>
      </c>
      <c r="J3849" t="n">
        <v>0.5219858448288296</v>
      </c>
      <c r="K3849" t="n">
        <v>0.0387520063560149</v>
      </c>
      <c r="L3849" t="b">
        <v>0</v>
      </c>
      <c r="M3849" t="b">
        <v>0</v>
      </c>
      <c r="N3849" t="inlineStr">
        <is>
          <t>ref</t>
        </is>
      </c>
      <c r="O3849" t="n">
        <v>-15</v>
      </c>
      <c r="P3849" t="n">
        <v>0.001709</v>
      </c>
      <c r="Q3849" t="n">
        <v>-90</v>
      </c>
      <c r="R3849" t="n">
        <v>0.1665</v>
      </c>
      <c r="S3849">
        <f>IMAGE("https://mitra.stanford.edu/kundaje/oak/projects/neuro-variants/variant_position/credible/roussos_2024/variant_figures/roussos_2024.childhood.GLU/rs13259407_count_position.png",4,220,900)</f>
        <v/>
      </c>
      <c r="T3849">
        <f>IMAGE("https://mitra.stanford.edu/kundaje/oak/projects/neuro-variants/variant_position/credible/roussos_2024/variant_figures/roussos_2024.childhood.GLU/rs13259407_profile_position.png",4,220,900)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-0.0678305647999999</v>
      </c>
      <c r="G3850" t="n">
        <v>0.1094664748162647</v>
      </c>
      <c r="H3850" t="n">
        <v>0.0125270757893907</v>
      </c>
      <c r="I3850" t="n">
        <v>0.4125574759144425</v>
      </c>
      <c r="J3850" t="n">
        <v>0.0255328793513758</v>
      </c>
      <c r="K3850" t="n">
        <v>0.4703920560442636</v>
      </c>
      <c r="L3850" t="b">
        <v>0</v>
      </c>
      <c r="M3850" t="b">
        <v>0</v>
      </c>
      <c r="N3850" t="inlineStr">
        <is>
          <t>ref</t>
        </is>
      </c>
      <c r="O3850" t="n">
        <v>55</v>
      </c>
      <c r="P3850" t="n">
        <v>0.0148</v>
      </c>
      <c r="Q3850" t="n">
        <v>45</v>
      </c>
      <c r="R3850" t="n">
        <v>0.1355</v>
      </c>
      <c r="S3850">
        <f>IMAGE("https://mitra.stanford.edu/kundaje/oak/projects/neuro-variants/variant_position/credible/roussos_2024/variant_figures/roussos_2024.childhood.GLU/rs7018369_count_position.png",4,220,900)</f>
        <v/>
      </c>
      <c r="T3850">
        <f>IMAGE("https://mitra.stanford.edu/kundaje/oak/projects/neuro-variants/variant_position/credible/roussos_2024/variant_figures/roussos_2024.childhood.GLU/rs7018369_profile_position.png",4,220,900)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0.372739752</v>
      </c>
      <c r="G3851" t="n">
        <v>0.0008673291376361</v>
      </c>
      <c r="H3851" t="n">
        <v>0.0486829504406618</v>
      </c>
      <c r="I3851" t="n">
        <v>0.0030115933893027</v>
      </c>
      <c r="J3851" t="n">
        <v>0.031117681601368</v>
      </c>
      <c r="K3851" t="n">
        <v>0.4286356846130863</v>
      </c>
      <c r="L3851" t="b">
        <v>1</v>
      </c>
      <c r="M3851" t="b">
        <v>1</v>
      </c>
      <c r="N3851" t="inlineStr">
        <is>
          <t>alt</t>
        </is>
      </c>
      <c r="O3851" t="n">
        <v>60</v>
      </c>
      <c r="P3851" t="n">
        <v>0.001663</v>
      </c>
      <c r="Q3851" t="n">
        <v>70</v>
      </c>
      <c r="R3851" t="n">
        <v>0.0818</v>
      </c>
      <c r="S3851">
        <f>IMAGE("https://mitra.stanford.edu/kundaje/oak/projects/neuro-variants/variant_position/credible/roussos_2024/variant_figures/roussos_2024.childhood.GLU/rs3808573_count_position.png",4,220,900)</f>
        <v/>
      </c>
      <c r="T3851">
        <f>IMAGE("https://mitra.stanford.edu/kundaje/oak/projects/neuro-variants/variant_position/credible/roussos_2024/variant_figures/roussos_2024.childhood.GLU/rs3808573_profile_position.png",4,220,900)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0.154480642</v>
      </c>
      <c r="G3852" t="n">
        <v>0.0157819153228686</v>
      </c>
      <c r="H3852" t="n">
        <v>0.0195353777290711</v>
      </c>
      <c r="I3852" t="n">
        <v>0.1142631083678731</v>
      </c>
      <c r="J3852" t="n">
        <v>0.008325177454747699</v>
      </c>
      <c r="K3852" t="n">
        <v>0.6098424659907798</v>
      </c>
      <c r="L3852" t="b">
        <v>1</v>
      </c>
      <c r="M3852" t="b">
        <v>0</v>
      </c>
      <c r="N3852" t="inlineStr">
        <is>
          <t>alt</t>
        </is>
      </c>
      <c r="O3852" t="n">
        <v>-100</v>
      </c>
      <c r="P3852" t="n">
        <v>0.0003395</v>
      </c>
      <c r="Q3852" t="n">
        <v>15</v>
      </c>
      <c r="R3852" t="n">
        <v>0.02441</v>
      </c>
      <c r="S3852">
        <f>IMAGE("https://mitra.stanford.edu/kundaje/oak/projects/neuro-variants/variant_position/credible/roussos_2024/variant_figures/roussos_2024.childhood.GLU/rs3808566_count_position.png",4,220,900)</f>
        <v/>
      </c>
      <c r="T3852">
        <f>IMAGE("https://mitra.stanford.edu/kundaje/oak/projects/neuro-variants/variant_position/credible/roussos_2024/variant_figures/roussos_2024.childhood.GLU/rs3808566_profile_position.png",4,220,900)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-0.01899632686</v>
      </c>
      <c r="G3853" t="n">
        <v>0.491865552278558</v>
      </c>
      <c r="H3853" t="n">
        <v>0.0337170370079455</v>
      </c>
      <c r="I3853" t="n">
        <v>0.0132280178302365</v>
      </c>
      <c r="J3853" t="n">
        <v>0.2977973976737716</v>
      </c>
      <c r="K3853" t="n">
        <v>0.0984031696276165</v>
      </c>
      <c r="L3853" t="b">
        <v>1</v>
      </c>
      <c r="M3853" t="b">
        <v>0</v>
      </c>
      <c r="N3853" t="inlineStr">
        <is>
          <t>ref</t>
        </is>
      </c>
      <c r="O3853" t="n">
        <v>75</v>
      </c>
      <c r="P3853" t="n">
        <v>0.01047</v>
      </c>
      <c r="Q3853" t="n">
        <v>95</v>
      </c>
      <c r="R3853" t="n">
        <v>0.2512</v>
      </c>
      <c r="S3853">
        <f>IMAGE("https://mitra.stanford.edu/kundaje/oak/projects/neuro-variants/variant_position/credible/roussos_2024/variant_figures/roussos_2024.childhood.GLU/rs3824232_count_position.png",4,220,900)</f>
        <v/>
      </c>
      <c r="T3853">
        <f>IMAGE("https://mitra.stanford.edu/kundaje/oak/projects/neuro-variants/variant_position/credible/roussos_2024/variant_figures/roussos_2024.childhood.GLU/rs3824232_profile_position.png",4,220,900)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0.06946991799999989</v>
      </c>
      <c r="G3854" t="n">
        <v>0.0937596824779144</v>
      </c>
      <c r="H3854" t="n">
        <v>0.0121268480575243</v>
      </c>
      <c r="I3854" t="n">
        <v>0.4364008924225471</v>
      </c>
      <c r="J3854" t="n">
        <v>0.1358958245335695</v>
      </c>
      <c r="K3854" t="n">
        <v>0.2030583955279574</v>
      </c>
      <c r="L3854" t="b">
        <v>0</v>
      </c>
      <c r="M3854" t="b">
        <v>0</v>
      </c>
      <c r="N3854" t="inlineStr">
        <is>
          <t>alt</t>
        </is>
      </c>
      <c r="O3854" t="n">
        <v>-100</v>
      </c>
      <c r="P3854" t="n">
        <v>0.004837</v>
      </c>
      <c r="Q3854" t="n">
        <v>100</v>
      </c>
      <c r="R3854" t="n">
        <v>0.10425</v>
      </c>
      <c r="S3854">
        <f>IMAGE("https://mitra.stanford.edu/kundaje/oak/projects/neuro-variants/variant_position/credible/roussos_2024/variant_figures/roussos_2024.childhood.GLU/rs56085315_count_position.png",4,220,900)</f>
        <v/>
      </c>
      <c r="T3854">
        <f>IMAGE("https://mitra.stanford.edu/kundaje/oak/projects/neuro-variants/variant_position/credible/roussos_2024/variant_figures/roussos_2024.childhood.GLU/rs56085315_profile_position.png",4,220,900)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0.02882578308</v>
      </c>
      <c r="G3855" t="n">
        <v>0.3485042271694939</v>
      </c>
      <c r="H3855" t="n">
        <v>0.0118668486923469</v>
      </c>
      <c r="I3855" t="n">
        <v>0.4570218876047787</v>
      </c>
      <c r="J3855" t="n">
        <v>0.0237433937383456</v>
      </c>
      <c r="K3855" t="n">
        <v>0.478762277275493</v>
      </c>
      <c r="L3855" t="b">
        <v>0</v>
      </c>
      <c r="M3855" t="b">
        <v>0</v>
      </c>
      <c r="N3855" t="inlineStr">
        <is>
          <t>alt</t>
        </is>
      </c>
      <c r="O3855" t="n">
        <v>-70</v>
      </c>
      <c r="P3855" t="n">
        <v>0.01671</v>
      </c>
      <c r="Q3855" t="n">
        <v>-70</v>
      </c>
      <c r="R3855" t="n">
        <v>0.10394</v>
      </c>
      <c r="S3855">
        <f>IMAGE("https://mitra.stanford.edu/kundaje/oak/projects/neuro-variants/variant_position/credible/roussos_2024/variant_figures/roussos_2024.childhood.GLU/rs3757908_count_position.png",4,220,900)</f>
        <v/>
      </c>
      <c r="T3855">
        <f>IMAGE("https://mitra.stanford.edu/kundaje/oak/projects/neuro-variants/variant_position/credible/roussos_2024/variant_figures/roussos_2024.childhood.GLU/rs3757908_profile_position.png",4,220,900)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-0.08332095199999991</v>
      </c>
      <c r="G3856" t="n">
        <v>0.0791717630874267</v>
      </c>
      <c r="H3856" t="n">
        <v>0.0230536192295436</v>
      </c>
      <c r="I3856" t="n">
        <v>0.0616844572944265</v>
      </c>
      <c r="J3856" t="n">
        <v>0.1105545654032781</v>
      </c>
      <c r="K3856" t="n">
        <v>0.2406661192895715</v>
      </c>
      <c r="L3856" t="b">
        <v>0</v>
      </c>
      <c r="M3856" t="b">
        <v>0</v>
      </c>
      <c r="N3856" t="inlineStr">
        <is>
          <t>ref</t>
        </is>
      </c>
      <c r="O3856" t="n">
        <v>80</v>
      </c>
      <c r="P3856" t="n">
        <v>0.003082</v>
      </c>
      <c r="Q3856" t="n">
        <v>-55</v>
      </c>
      <c r="R3856" t="n">
        <v>0.0441</v>
      </c>
      <c r="S3856">
        <f>IMAGE("https://mitra.stanford.edu/kundaje/oak/projects/neuro-variants/variant_position/credible/roussos_2024/variant_figures/roussos_2024.childhood.GLU/rs7005936_count_position.png",4,220,900)</f>
        <v/>
      </c>
      <c r="T3856">
        <f>IMAGE("https://mitra.stanford.edu/kundaje/oak/projects/neuro-variants/variant_position/credible/roussos_2024/variant_figures/roussos_2024.childhood.GLU/rs7005936_profile_position.png",4,220,900)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0.0696500816</v>
      </c>
      <c r="G3857" t="n">
        <v>0.1018821387939534</v>
      </c>
      <c r="H3857" t="n">
        <v>0.0152193420335622</v>
      </c>
      <c r="I3857" t="n">
        <v>0.2430368176649502</v>
      </c>
      <c r="J3857" t="n">
        <v>0.3895845137894443</v>
      </c>
      <c r="K3857" t="n">
        <v>0.067228888617144</v>
      </c>
      <c r="L3857" t="b">
        <v>0</v>
      </c>
      <c r="M3857" t="b">
        <v>0</v>
      </c>
      <c r="N3857" t="inlineStr">
        <is>
          <t>alt</t>
        </is>
      </c>
      <c r="O3857" t="n">
        <v>-95</v>
      </c>
      <c r="P3857" t="n">
        <v>0.001495</v>
      </c>
      <c r="Q3857" t="n">
        <v>-95</v>
      </c>
      <c r="R3857" t="n">
        <v>0.0968</v>
      </c>
      <c r="S3857">
        <f>IMAGE("https://mitra.stanford.edu/kundaje/oak/projects/neuro-variants/variant_position/credible/roussos_2024/variant_figures/roussos_2024.childhood.GLU/rs1106359_count_position.png",4,220,900)</f>
        <v/>
      </c>
      <c r="T3857">
        <f>IMAGE("https://mitra.stanford.edu/kundaje/oak/projects/neuro-variants/variant_position/credible/roussos_2024/variant_figures/roussos_2024.childhood.GLU/rs1106359_profile_position.png",4,220,900)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0.07463239699999991</v>
      </c>
      <c r="G3858" t="n">
        <v>0.0845790206617384</v>
      </c>
      <c r="H3858" t="n">
        <v>0.0203456669350823</v>
      </c>
      <c r="I3858" t="n">
        <v>0.09280415609261659</v>
      </c>
      <c r="J3858" t="n">
        <v>0.4090226338508452</v>
      </c>
      <c r="K3858" t="n">
        <v>0.0620873473269248</v>
      </c>
      <c r="L3858" t="b">
        <v>0</v>
      </c>
      <c r="M3858" t="b">
        <v>0</v>
      </c>
      <c r="N3858" t="inlineStr">
        <is>
          <t>alt</t>
        </is>
      </c>
      <c r="O3858" t="n">
        <v>-10</v>
      </c>
      <c r="P3858" t="n">
        <v>0.0002441</v>
      </c>
      <c r="Q3858" t="n">
        <v>20</v>
      </c>
      <c r="R3858" t="n">
        <v>0.03418</v>
      </c>
      <c r="S3858">
        <f>IMAGE("https://mitra.stanford.edu/kundaje/oak/projects/neuro-variants/variant_position/credible/roussos_2024/variant_figures/roussos_2024.childhood.GLU/rs2565065_count_position.png",4,220,900)</f>
        <v/>
      </c>
      <c r="T3858">
        <f>IMAGE("https://mitra.stanford.edu/kundaje/oak/projects/neuro-variants/variant_position/credible/roussos_2024/variant_figures/roussos_2024.childhood.GLU/rs2565065_profile_position.png",4,220,900)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0.08548524120000001</v>
      </c>
      <c r="G3859" t="n">
        <v>0.06527525573296381</v>
      </c>
      <c r="H3859" t="n">
        <v>0.0126668103739198</v>
      </c>
      <c r="I3859" t="n">
        <v>0.4034832617462424</v>
      </c>
      <c r="J3859" t="n">
        <v>0.3279106184388102</v>
      </c>
      <c r="K3859" t="n">
        <v>0.0877373291775816</v>
      </c>
      <c r="L3859" t="b">
        <v>0</v>
      </c>
      <c r="M3859" t="b">
        <v>0</v>
      </c>
      <c r="N3859" t="inlineStr">
        <is>
          <t>alt</t>
        </is>
      </c>
      <c r="O3859" t="n">
        <v>-100</v>
      </c>
      <c r="P3859" t="n">
        <v>0.04385</v>
      </c>
      <c r="Q3859" t="n">
        <v>-80</v>
      </c>
      <c r="R3859" t="n">
        <v>0.10565</v>
      </c>
      <c r="S3859">
        <f>IMAGE("https://mitra.stanford.edu/kundaje/oak/projects/neuro-variants/variant_position/credible/roussos_2024/variant_figures/roussos_2024.childhood.GLU/rs867232_count_position.png",4,220,900)</f>
        <v/>
      </c>
      <c r="T3859">
        <f>IMAGE("https://mitra.stanford.edu/kundaje/oak/projects/neuro-variants/variant_position/credible/roussos_2024/variant_figures/roussos_2024.childhood.GLU/rs867232_profile_position.png",4,220,900)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0.0139784532</v>
      </c>
      <c r="G3860" t="n">
        <v>0.5622761244461908</v>
      </c>
      <c r="H3860" t="n">
        <v>0.019403291830146</v>
      </c>
      <c r="I3860" t="n">
        <v>0.1172136376599006</v>
      </c>
      <c r="J3860" t="n">
        <v>0.0004429929842273</v>
      </c>
      <c r="K3860" t="n">
        <v>0.8835801575871863</v>
      </c>
      <c r="L3860" t="b">
        <v>0</v>
      </c>
      <c r="M3860" t="b">
        <v>0</v>
      </c>
      <c r="N3860" t="inlineStr">
        <is>
          <t>alt</t>
        </is>
      </c>
      <c r="O3860" t="n">
        <v>15</v>
      </c>
      <c r="P3860" t="n">
        <v>0.00246</v>
      </c>
      <c r="Q3860" t="n">
        <v>-100</v>
      </c>
      <c r="R3860" t="n">
        <v>0.05017</v>
      </c>
      <c r="S3860">
        <f>IMAGE("https://mitra.stanford.edu/kundaje/oak/projects/neuro-variants/variant_position/credible/roussos_2024/variant_figures/roussos_2024.childhood.GLU/rs2881131_count_position.png",4,220,900)</f>
        <v/>
      </c>
      <c r="T3860">
        <f>IMAGE("https://mitra.stanford.edu/kundaje/oak/projects/neuro-variants/variant_position/credible/roussos_2024/variant_figures/roussos_2024.childhood.GLU/rs2881131_profile_position.png",4,220,900)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-0.0609574513999999</v>
      </c>
      <c r="G3861" t="n">
        <v>0.1413570244428276</v>
      </c>
      <c r="H3861" t="n">
        <v>0.014055528667934</v>
      </c>
      <c r="I3861" t="n">
        <v>0.3037520047631724</v>
      </c>
      <c r="J3861" t="n">
        <v>0.044442498480431</v>
      </c>
      <c r="K3861" t="n">
        <v>0.3650408311041513</v>
      </c>
      <c r="L3861" t="b">
        <v>0</v>
      </c>
      <c r="M3861" t="b">
        <v>0</v>
      </c>
      <c r="N3861" t="inlineStr">
        <is>
          <t>ref</t>
        </is>
      </c>
      <c r="O3861" t="n">
        <v>100</v>
      </c>
      <c r="P3861" t="n">
        <v>0.02252</v>
      </c>
      <c r="Q3861" t="n">
        <v>-10</v>
      </c>
      <c r="R3861" t="n">
        <v>0.0007324</v>
      </c>
      <c r="S3861">
        <f>IMAGE("https://mitra.stanford.edu/kundaje/oak/projects/neuro-variants/variant_position/credible/roussos_2024/variant_figures/roussos_2024.childhood.GLU/rs2575065_count_position.png",4,220,900)</f>
        <v/>
      </c>
      <c r="T3861">
        <f>IMAGE("https://mitra.stanford.edu/kundaje/oak/projects/neuro-variants/variant_position/credible/roussos_2024/variant_figures/roussos_2024.childhood.GLU/rs2575065_profile_position.png",4,220,900)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0.00101129836</v>
      </c>
      <c r="G3862" t="n">
        <v>0.6707517437696223</v>
      </c>
      <c r="H3862" t="n">
        <v>0.0204230632024903</v>
      </c>
      <c r="I3862" t="n">
        <v>0.0906754549195614</v>
      </c>
      <c r="J3862" t="n">
        <v>0.0008808348872427</v>
      </c>
      <c r="K3862" t="n">
        <v>0.8399812965613225</v>
      </c>
      <c r="L3862" t="b">
        <v>0</v>
      </c>
      <c r="M3862" t="b">
        <v>0</v>
      </c>
      <c r="N3862" t="inlineStr">
        <is>
          <t>alt</t>
        </is>
      </c>
      <c r="O3862" t="n">
        <v>-35</v>
      </c>
      <c r="P3862" t="n">
        <v>0.001579</v>
      </c>
      <c r="Q3862" t="n">
        <v>-100</v>
      </c>
      <c r="R3862" t="n">
        <v>0.05725</v>
      </c>
      <c r="S3862">
        <f>IMAGE("https://mitra.stanford.edu/kundaje/oak/projects/neuro-variants/variant_position/credible/roussos_2024/variant_figures/roussos_2024.childhood.GLU/rs77184019_count_position.png",4,220,900)</f>
        <v/>
      </c>
      <c r="T3862">
        <f>IMAGE("https://mitra.stanford.edu/kundaje/oak/projects/neuro-variants/variant_position/credible/roussos_2024/variant_figures/roussos_2024.childhood.GLU/rs77184019_profile_position.png",4,220,900)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-0.1702867539999999</v>
      </c>
      <c r="G3863" t="n">
        <v>0.0176561189257053</v>
      </c>
      <c r="H3863" t="n">
        <v>0.0234363637178661</v>
      </c>
      <c r="I3863" t="n">
        <v>0.07546930602531859</v>
      </c>
      <c r="J3863" t="n">
        <v>0.0180102403494492</v>
      </c>
      <c r="K3863" t="n">
        <v>0.5205882035764096</v>
      </c>
      <c r="L3863" t="b">
        <v>1</v>
      </c>
      <c r="M3863" t="b">
        <v>0</v>
      </c>
      <c r="N3863" t="inlineStr">
        <is>
          <t>ref</t>
        </is>
      </c>
      <c r="O3863" t="n">
        <v>100</v>
      </c>
      <c r="P3863" t="n">
        <v>0.012375</v>
      </c>
      <c r="Q3863" t="n">
        <v>-50</v>
      </c>
      <c r="R3863" t="n">
        <v>0.01477</v>
      </c>
      <c r="S3863">
        <f>IMAGE("https://mitra.stanford.edu/kundaje/oak/projects/neuro-variants/variant_position/credible/roussos_2024/variant_figures/roussos_2024.childhood.GLU/rs2716947_count_position.png",4,220,900)</f>
        <v/>
      </c>
      <c r="T3863">
        <f>IMAGE("https://mitra.stanford.edu/kundaje/oak/projects/neuro-variants/variant_position/credible/roussos_2024/variant_figures/roussos_2024.childhood.GLU/rs2716947_profile_position.png",4,220,900)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-0.0131607104</v>
      </c>
      <c r="G3864" t="n">
        <v>0.5503405652783981</v>
      </c>
      <c r="H3864" t="n">
        <v>0.0207772554525757</v>
      </c>
      <c r="I3864" t="n">
        <v>0.0855691457128137</v>
      </c>
      <c r="J3864" t="n">
        <v>0.0125727590221186</v>
      </c>
      <c r="K3864" t="n">
        <v>0.5646666376380339</v>
      </c>
      <c r="L3864" t="b">
        <v>0</v>
      </c>
      <c r="M3864" t="b">
        <v>0</v>
      </c>
      <c r="N3864" t="inlineStr">
        <is>
          <t>ref</t>
        </is>
      </c>
      <c r="O3864" t="n">
        <v>30</v>
      </c>
      <c r="P3864" t="n">
        <v>0.00453</v>
      </c>
      <c r="Q3864" t="n">
        <v>95</v>
      </c>
      <c r="R3864" t="n">
        <v>0.189</v>
      </c>
      <c r="S3864">
        <f>IMAGE("https://mitra.stanford.edu/kundaje/oak/projects/neuro-variants/variant_position/credible/roussos_2024/variant_figures/roussos_2024.childhood.GLU/rs2681614_count_position.png",4,220,900)</f>
        <v/>
      </c>
      <c r="T3864">
        <f>IMAGE("https://mitra.stanford.edu/kundaje/oak/projects/neuro-variants/variant_position/credible/roussos_2024/variant_figures/roussos_2024.childhood.GLU/rs2681614_profile_position.png",4,220,900)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-0.01545870332</v>
      </c>
      <c r="G3865" t="n">
        <v>0.5607696777699132</v>
      </c>
      <c r="H3865" t="n">
        <v>0.0298966569328313</v>
      </c>
      <c r="I3865" t="n">
        <v>0.0215929006675553</v>
      </c>
      <c r="J3865" t="n">
        <v>5.151081211946388e-06</v>
      </c>
      <c r="K3865" t="n">
        <v>1</v>
      </c>
      <c r="L3865" t="b">
        <v>0</v>
      </c>
      <c r="M3865" t="b">
        <v>0</v>
      </c>
      <c r="N3865" t="inlineStr">
        <is>
          <t>ref</t>
        </is>
      </c>
      <c r="O3865" t="n">
        <v>55</v>
      </c>
      <c r="P3865" t="n">
        <v>0.0003967</v>
      </c>
      <c r="Q3865" t="n">
        <v>-100</v>
      </c>
      <c r="R3865" t="n">
        <v>0.05045</v>
      </c>
      <c r="S3865">
        <f>IMAGE("https://mitra.stanford.edu/kundaje/oak/projects/neuro-variants/variant_position/credible/roussos_2024/variant_figures/roussos_2024.childhood.GLU/rs2716966_count_position.png",4,220,900)</f>
        <v/>
      </c>
      <c r="T3865">
        <f>IMAGE("https://mitra.stanford.edu/kundaje/oak/projects/neuro-variants/variant_position/credible/roussos_2024/variant_figures/roussos_2024.childhood.GLU/rs2716966_profile_position.png",4,220,900)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-0.0179431195999999</v>
      </c>
      <c r="G3866" t="n">
        <v>0.5030911405876525</v>
      </c>
      <c r="H3866" t="n">
        <v>0.0244316897819324</v>
      </c>
      <c r="I3866" t="n">
        <v>0.0487026250795604</v>
      </c>
      <c r="J3866" t="n">
        <v>0.0002709468717483</v>
      </c>
      <c r="K3866" t="n">
        <v>0.9043054265645136</v>
      </c>
      <c r="L3866" t="b">
        <v>0</v>
      </c>
      <c r="M3866" t="b">
        <v>0</v>
      </c>
      <c r="N3866" t="inlineStr">
        <is>
          <t>ref</t>
        </is>
      </c>
      <c r="O3866" t="n">
        <v>-100</v>
      </c>
      <c r="P3866" t="n">
        <v>0.01201</v>
      </c>
      <c r="Q3866" t="n">
        <v>60</v>
      </c>
      <c r="R3866" t="n">
        <v>0.06854</v>
      </c>
      <c r="S3866">
        <f>IMAGE("https://mitra.stanford.edu/kundaje/oak/projects/neuro-variants/variant_position/credible/roussos_2024/variant_figures/roussos_2024.childhood.GLU/rs4376462_count_position.png",4,220,900)</f>
        <v/>
      </c>
      <c r="T3866">
        <f>IMAGE("https://mitra.stanford.edu/kundaje/oak/projects/neuro-variants/variant_position/credible/roussos_2024/variant_figures/roussos_2024.childhood.GLU/rs4376462_profile_position.png",4,220,900)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-0.0290973484</v>
      </c>
      <c r="G3867" t="n">
        <v>0.3602635627264725</v>
      </c>
      <c r="H3867" t="n">
        <v>0.0279691007693898</v>
      </c>
      <c r="I3867" t="n">
        <v>0.0286362752714794</v>
      </c>
      <c r="J3867" t="n">
        <v>0.0047915357433524</v>
      </c>
      <c r="K3867" t="n">
        <v>0.6803974901836943</v>
      </c>
      <c r="L3867" t="b">
        <v>0</v>
      </c>
      <c r="M3867" t="b">
        <v>0</v>
      </c>
      <c r="N3867" t="inlineStr">
        <is>
          <t>ref</t>
        </is>
      </c>
      <c r="O3867" t="n">
        <v>55</v>
      </c>
      <c r="P3867" t="n">
        <v>0.01083</v>
      </c>
      <c r="Q3867" t="n">
        <v>-90</v>
      </c>
      <c r="R3867" t="n">
        <v>0.1742</v>
      </c>
      <c r="S3867">
        <f>IMAGE("https://mitra.stanford.edu/kundaje/oak/projects/neuro-variants/variant_position/credible/roussos_2024/variant_figures/roussos_2024.childhood.GLU/rs13251167_count_position.png",4,220,900)</f>
        <v/>
      </c>
      <c r="T3867">
        <f>IMAGE("https://mitra.stanford.edu/kundaje/oak/projects/neuro-variants/variant_position/credible/roussos_2024/variant_figures/roussos_2024.childhood.GLU/rs13251167_profile_position.png",4,220,900)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-0.0020008514</v>
      </c>
      <c r="G3868" t="n">
        <v>0.789345413341984</v>
      </c>
      <c r="H3868" t="n">
        <v>0.0065454159690631</v>
      </c>
      <c r="I3868" t="n">
        <v>0.9697215921880148</v>
      </c>
      <c r="J3868" t="n">
        <v>2.266475733256411e-05</v>
      </c>
      <c r="K3868" t="n">
        <v>0.9813238031043598</v>
      </c>
      <c r="L3868" t="b">
        <v>0</v>
      </c>
      <c r="M3868" t="b">
        <v>0</v>
      </c>
      <c r="N3868" t="inlineStr">
        <is>
          <t>ref</t>
        </is>
      </c>
      <c r="O3868" t="n">
        <v>100</v>
      </c>
      <c r="P3868" t="n">
        <v>0.00835</v>
      </c>
      <c r="Q3868" t="n">
        <v>-55</v>
      </c>
      <c r="R3868" t="n">
        <v>0.03696</v>
      </c>
      <c r="S3868">
        <f>IMAGE("https://mitra.stanford.edu/kundaje/oak/projects/neuro-variants/variant_position/credible/roussos_2024/variant_figures/roussos_2024.childhood.GLU/rs4739486_count_position.png",4,220,900)</f>
        <v/>
      </c>
      <c r="T3868">
        <f>IMAGE("https://mitra.stanford.edu/kundaje/oak/projects/neuro-variants/variant_position/credible/roussos_2024/variant_figures/roussos_2024.childhood.GLU/rs4739486_profile_position.png",4,220,900)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0.0660399154</v>
      </c>
      <c r="G3869" t="n">
        <v>0.1111875832359383</v>
      </c>
      <c r="H3869" t="n">
        <v>0.0126581024340385</v>
      </c>
      <c r="I3869" t="n">
        <v>0.3903586691752054</v>
      </c>
      <c r="J3869" t="n">
        <v>0.0306551145085352</v>
      </c>
      <c r="K3869" t="n">
        <v>0.4246071205001963</v>
      </c>
      <c r="L3869" t="b">
        <v>0</v>
      </c>
      <c r="M3869" t="b">
        <v>0</v>
      </c>
      <c r="N3869" t="inlineStr">
        <is>
          <t>alt</t>
        </is>
      </c>
      <c r="O3869" t="n">
        <v>-55</v>
      </c>
      <c r="P3869" t="n">
        <v>0.00688</v>
      </c>
      <c r="Q3869" t="n">
        <v>-60</v>
      </c>
      <c r="R3869" t="n">
        <v>0.1007</v>
      </c>
      <c r="S3869">
        <f>IMAGE("https://mitra.stanford.edu/kundaje/oak/projects/neuro-variants/variant_position/credible/roussos_2024/variant_figures/roussos_2024.childhood.GLU/rs4483152_count_position.png",4,220,900)</f>
        <v/>
      </c>
      <c r="T3869">
        <f>IMAGE("https://mitra.stanford.edu/kundaje/oak/projects/neuro-variants/variant_position/credible/roussos_2024/variant_figures/roussos_2024.childhood.GLU/rs4483152_profile_position.png",4,220,900)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0.132437734</v>
      </c>
      <c r="G3870" t="n">
        <v>0.0260994254423653</v>
      </c>
      <c r="H3870" t="n">
        <v>0.0338761690631246</v>
      </c>
      <c r="I3870" t="n">
        <v>0.014690139554884</v>
      </c>
      <c r="J3870" t="n">
        <v>0.0380891549136163</v>
      </c>
      <c r="K3870" t="n">
        <v>0.3916543023007203</v>
      </c>
      <c r="L3870" t="b">
        <v>1</v>
      </c>
      <c r="M3870" t="b">
        <v>0</v>
      </c>
      <c r="N3870" t="inlineStr">
        <is>
          <t>alt</t>
        </is>
      </c>
      <c r="O3870" t="n">
        <v>-100</v>
      </c>
      <c r="P3870" t="n">
        <v>0.013214</v>
      </c>
      <c r="Q3870" t="n">
        <v>-100</v>
      </c>
      <c r="R3870" t="n">
        <v>0.06036</v>
      </c>
      <c r="S3870">
        <f>IMAGE("https://mitra.stanford.edu/kundaje/oak/projects/neuro-variants/variant_position/credible/roussos_2024/variant_figures/roussos_2024.childhood.GLU/rs2953935_count_position.png",4,220,900)</f>
        <v/>
      </c>
      <c r="T3870">
        <f>IMAGE("https://mitra.stanford.edu/kundaje/oak/projects/neuro-variants/variant_position/credible/roussos_2024/variant_figures/roussos_2024.childhood.GLU/rs2953935_profile_position.png",4,220,900)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-0.0361895901999999</v>
      </c>
      <c r="G3871" t="n">
        <v>0.2829550409938441</v>
      </c>
      <c r="H3871" t="n">
        <v>0.009646151851052</v>
      </c>
      <c r="I3871" t="n">
        <v>0.7053902356139059</v>
      </c>
      <c r="J3871" t="n">
        <v>0.0490063564342155</v>
      </c>
      <c r="K3871" t="n">
        <v>0.3585836170860957</v>
      </c>
      <c r="L3871" t="b">
        <v>0</v>
      </c>
      <c r="M3871" t="b">
        <v>0</v>
      </c>
      <c r="N3871" t="inlineStr">
        <is>
          <t>ref</t>
        </is>
      </c>
      <c r="O3871" t="n">
        <v>-100</v>
      </c>
      <c r="P3871" t="n">
        <v>0.00566</v>
      </c>
      <c r="Q3871" t="n">
        <v>100</v>
      </c>
      <c r="R3871" t="n">
        <v>0.01782</v>
      </c>
      <c r="S3871">
        <f>IMAGE("https://mitra.stanford.edu/kundaje/oak/projects/neuro-variants/variant_position/credible/roussos_2024/variant_figures/roussos_2024.childhood.GLU/rs79845297_count_position.png",4,220,900)</f>
        <v/>
      </c>
      <c r="T3871">
        <f>IMAGE("https://mitra.stanford.edu/kundaje/oak/projects/neuro-variants/variant_position/credible/roussos_2024/variant_figures/roussos_2024.childhood.GLU/rs79845297_profile_position.png",4,220,900)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-0.148657602</v>
      </c>
      <c r="G3872" t="n">
        <v>0.018930369174246</v>
      </c>
      <c r="H3872" t="n">
        <v>0.0265299689649501</v>
      </c>
      <c r="I3872" t="n">
        <v>0.0372219017592854</v>
      </c>
      <c r="J3872" t="n">
        <v>0.0015813819320675</v>
      </c>
      <c r="K3872" t="n">
        <v>0.7915674859694665</v>
      </c>
      <c r="L3872" t="b">
        <v>1</v>
      </c>
      <c r="M3872" t="b">
        <v>0</v>
      </c>
      <c r="N3872" t="inlineStr">
        <is>
          <t>ref</t>
        </is>
      </c>
      <c r="O3872" t="n">
        <v>-40</v>
      </c>
      <c r="P3872" t="n">
        <v>0.001162</v>
      </c>
      <c r="Q3872" t="n">
        <v>60</v>
      </c>
      <c r="R3872" t="n">
        <v>0.04907</v>
      </c>
      <c r="S3872">
        <f>IMAGE("https://mitra.stanford.edu/kundaje/oak/projects/neuro-variants/variant_position/credible/roussos_2024/variant_figures/roussos_2024.childhood.GLU/rs2609620_count_position.png",4,220,900)</f>
        <v/>
      </c>
      <c r="T3872">
        <f>IMAGE("https://mitra.stanford.edu/kundaje/oak/projects/neuro-variants/variant_position/credible/roussos_2024/variant_figures/roussos_2024.childhood.GLU/rs2609620_profile_position.png",4,220,900)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-0.0459995094</v>
      </c>
      <c r="G3873" t="n">
        <v>0.2306539029238771</v>
      </c>
      <c r="H3873" t="n">
        <v>0.0120319932703574</v>
      </c>
      <c r="I3873" t="n">
        <v>0.4564942814468065</v>
      </c>
      <c r="J3873" t="n">
        <v>0.0140789351684918</v>
      </c>
      <c r="K3873" t="n">
        <v>0.5479231032738221</v>
      </c>
      <c r="L3873" t="b">
        <v>0</v>
      </c>
      <c r="M3873" t="b">
        <v>0</v>
      </c>
      <c r="N3873" t="inlineStr">
        <is>
          <t>ref</t>
        </is>
      </c>
      <c r="O3873" t="n">
        <v>-100</v>
      </c>
      <c r="P3873" t="n">
        <v>0.04202</v>
      </c>
      <c r="Q3873" t="n">
        <v>25</v>
      </c>
      <c r="R3873" t="n">
        <v>0.05176</v>
      </c>
      <c r="S3873">
        <f>IMAGE("https://mitra.stanford.edu/kundaje/oak/projects/neuro-variants/variant_position/credible/roussos_2024/variant_figures/roussos_2024.childhood.GLU/rs2609622_count_position.png",4,220,900)</f>
        <v/>
      </c>
      <c r="T3873">
        <f>IMAGE("https://mitra.stanford.edu/kundaje/oak/projects/neuro-variants/variant_position/credible/roussos_2024/variant_figures/roussos_2024.childhood.GLU/rs2609622_profile_position.png",4,220,900)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0.0329487284</v>
      </c>
      <c r="G3874" t="n">
        <v>0.1894984822535272</v>
      </c>
      <c r="H3874" t="n">
        <v>0.0144321774796759</v>
      </c>
      <c r="I3874" t="n">
        <v>0.2767555370767617</v>
      </c>
      <c r="J3874" t="n">
        <v>0.0030329566175939</v>
      </c>
      <c r="K3874" t="n">
        <v>0.7377075355327636</v>
      </c>
      <c r="L3874" t="b">
        <v>0</v>
      </c>
      <c r="M3874" t="b">
        <v>0</v>
      </c>
      <c r="N3874" t="inlineStr">
        <is>
          <t>alt</t>
        </is>
      </c>
      <c r="O3874" t="n">
        <v>-95</v>
      </c>
      <c r="P3874" t="n">
        <v>0.00958</v>
      </c>
      <c r="Q3874" t="n">
        <v>-40</v>
      </c>
      <c r="R3874" t="n">
        <v>0.0799</v>
      </c>
      <c r="S3874">
        <f>IMAGE("https://mitra.stanford.edu/kundaje/oak/projects/neuro-variants/variant_position/credible/roussos_2024/variant_figures/roussos_2024.childhood.GLU/rs2719322_count_position.png",4,220,900)</f>
        <v/>
      </c>
      <c r="T3874">
        <f>IMAGE("https://mitra.stanford.edu/kundaje/oak/projects/neuro-variants/variant_position/credible/roussos_2024/variant_figures/roussos_2024.childhood.GLU/rs2719322_profile_position.png",4,220,900)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-0.0204572762</v>
      </c>
      <c r="G3875" t="n">
        <v>0.4491668739568686</v>
      </c>
      <c r="H3875" t="n">
        <v>0.0183822547816338</v>
      </c>
      <c r="I3875" t="n">
        <v>0.1299610624860928</v>
      </c>
      <c r="J3875" t="n">
        <v>0.06460073969526189</v>
      </c>
      <c r="K3875" t="n">
        <v>0.3122838278746384</v>
      </c>
      <c r="L3875" t="b">
        <v>0</v>
      </c>
      <c r="M3875" t="b">
        <v>0</v>
      </c>
      <c r="N3875" t="inlineStr">
        <is>
          <t>ref</t>
        </is>
      </c>
      <c r="O3875" t="n">
        <v>55</v>
      </c>
      <c r="P3875" t="n">
        <v>0.006714</v>
      </c>
      <c r="Q3875" t="n">
        <v>-80</v>
      </c>
      <c r="R3875" t="n">
        <v>0.0851</v>
      </c>
      <c r="S3875">
        <f>IMAGE("https://mitra.stanford.edu/kundaje/oak/projects/neuro-variants/variant_position/credible/roussos_2024/variant_figures/roussos_2024.childhood.GLU/rs75428749_count_position.png",4,220,900)</f>
        <v/>
      </c>
      <c r="T3875">
        <f>IMAGE("https://mitra.stanford.edu/kundaje/oak/projects/neuro-variants/variant_position/credible/roussos_2024/variant_figures/roussos_2024.childhood.GLU/rs75428749_profile_position.png",4,220,900)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-0.086720423</v>
      </c>
      <c r="G3876" t="n">
        <v>0.0654134612735407</v>
      </c>
      <c r="H3876" t="n">
        <v>0.0163330710679657</v>
      </c>
      <c r="I3876" t="n">
        <v>0.189820047697398</v>
      </c>
      <c r="J3876" t="n">
        <v>0.0218653095284699</v>
      </c>
      <c r="K3876" t="n">
        <v>0.480330236114013</v>
      </c>
      <c r="L3876" t="b">
        <v>0</v>
      </c>
      <c r="M3876" t="b">
        <v>0</v>
      </c>
      <c r="N3876" t="inlineStr">
        <is>
          <t>ref</t>
        </is>
      </c>
      <c r="O3876" t="n">
        <v>40</v>
      </c>
      <c r="P3876" t="n">
        <v>0.0007486</v>
      </c>
      <c r="Q3876" t="n">
        <v>-75</v>
      </c>
      <c r="R3876" t="n">
        <v>0.06128</v>
      </c>
      <c r="S3876">
        <f>IMAGE("https://mitra.stanford.edu/kundaje/oak/projects/neuro-variants/variant_position/credible/roussos_2024/variant_figures/roussos_2024.childhood.GLU/rs73674310_count_position.png",4,220,900)</f>
        <v/>
      </c>
      <c r="T3876">
        <f>IMAGE("https://mitra.stanford.edu/kundaje/oak/projects/neuro-variants/variant_position/credible/roussos_2024/variant_figures/roussos_2024.childhood.GLU/rs73674310_profile_position.png",4,220,900)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-0.118534093</v>
      </c>
      <c r="G3877" t="n">
        <v>0.0304150672478425</v>
      </c>
      <c r="H3877" t="n">
        <v>0.0189206658763395</v>
      </c>
      <c r="I3877" t="n">
        <v>0.1201359536262918</v>
      </c>
      <c r="J3877" t="n">
        <v>0.0419555564713032</v>
      </c>
      <c r="K3877" t="n">
        <v>0.3770202546665519</v>
      </c>
      <c r="L3877" t="b">
        <v>0</v>
      </c>
      <c r="M3877" t="b">
        <v>0</v>
      </c>
      <c r="N3877" t="inlineStr">
        <is>
          <t>ref</t>
        </is>
      </c>
      <c r="O3877" t="n">
        <v>75</v>
      </c>
      <c r="P3877" t="n">
        <v>0.003235</v>
      </c>
      <c r="Q3877" t="n">
        <v>90</v>
      </c>
      <c r="R3877" t="n">
        <v>0.099</v>
      </c>
      <c r="S3877">
        <f>IMAGE("https://mitra.stanford.edu/kundaje/oak/projects/neuro-variants/variant_position/credible/roussos_2024/variant_figures/roussos_2024.childhood.GLU/rs1458903_count_position.png",4,220,900)</f>
        <v/>
      </c>
      <c r="T3877">
        <f>IMAGE("https://mitra.stanford.edu/kundaje/oak/projects/neuro-variants/variant_position/credible/roussos_2024/variant_figures/roussos_2024.childhood.GLU/rs1458903_profile_position.png",4,220,900)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-0.0393723648</v>
      </c>
      <c r="G3878" t="n">
        <v>0.258768504324548</v>
      </c>
      <c r="H3878" t="n">
        <v>0.014108928414014</v>
      </c>
      <c r="I3878" t="n">
        <v>0.2965512887114979</v>
      </c>
      <c r="J3878" t="n">
        <v>0.0129889663840439</v>
      </c>
      <c r="K3878" t="n">
        <v>0.5646584447950348</v>
      </c>
      <c r="L3878" t="b">
        <v>0</v>
      </c>
      <c r="M3878" t="b">
        <v>0</v>
      </c>
      <c r="N3878" t="inlineStr">
        <is>
          <t>ref</t>
        </is>
      </c>
      <c r="O3878" t="n">
        <v>70</v>
      </c>
      <c r="P3878" t="n">
        <v>0.002335</v>
      </c>
      <c r="Q3878" t="n">
        <v>65</v>
      </c>
      <c r="R3878" t="n">
        <v>0.1545</v>
      </c>
      <c r="S3878">
        <f>IMAGE("https://mitra.stanford.edu/kundaje/oak/projects/neuro-variants/variant_position/credible/roussos_2024/variant_figures/roussos_2024.childhood.GLU/rs73674323_count_position.png",4,220,900)</f>
        <v/>
      </c>
      <c r="T3878">
        <f>IMAGE("https://mitra.stanford.edu/kundaje/oak/projects/neuro-variants/variant_position/credible/roussos_2024/variant_figures/roussos_2024.childhood.GLU/rs73674323_profile_position.png",4,220,900)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-0.121647368</v>
      </c>
      <c r="G3879" t="n">
        <v>0.0296800624555464</v>
      </c>
      <c r="H3879" t="n">
        <v>0.0195387051367506</v>
      </c>
      <c r="I3879" t="n">
        <v>0.1090165262226437</v>
      </c>
      <c r="J3879" t="n">
        <v>0.0284113035326114</v>
      </c>
      <c r="K3879" t="n">
        <v>0.4479505494299216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0.0323</v>
      </c>
      <c r="Q3879" t="n">
        <v>90</v>
      </c>
      <c r="R3879" t="n">
        <v>0.02002</v>
      </c>
      <c r="S3879">
        <f>IMAGE("https://mitra.stanford.edu/kundaje/oak/projects/neuro-variants/variant_position/credible/roussos_2024/variant_figures/roussos_2024.childhood.GLU/rs74931817_count_position.png",4,220,900)</f>
        <v/>
      </c>
      <c r="T3879">
        <f>IMAGE("https://mitra.stanford.edu/kundaje/oak/projects/neuro-variants/variant_position/credible/roussos_2024/variant_figures/roussos_2024.childhood.GLU/rs74931817_profile_position.png",4,220,900)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0.0504193884</v>
      </c>
      <c r="G3880" t="n">
        <v>0.1791429565787776</v>
      </c>
      <c r="H3880" t="n">
        <v>0.014677183832267</v>
      </c>
      <c r="I3880" t="n">
        <v>0.2721323214296477</v>
      </c>
      <c r="J3880" t="n">
        <v>0.006661378223289</v>
      </c>
      <c r="K3880" t="n">
        <v>0.6369908150617959</v>
      </c>
      <c r="L3880" t="b">
        <v>0</v>
      </c>
      <c r="M3880" t="b">
        <v>0</v>
      </c>
      <c r="N3880" t="inlineStr">
        <is>
          <t>alt</t>
        </is>
      </c>
      <c r="O3880" t="n">
        <v>55</v>
      </c>
      <c r="P3880" t="n">
        <v>0.0032</v>
      </c>
      <c r="Q3880" t="n">
        <v>45</v>
      </c>
      <c r="R3880" t="n">
        <v>0.02829</v>
      </c>
      <c r="S3880">
        <f>IMAGE("https://mitra.stanford.edu/kundaje/oak/projects/neuro-variants/variant_position/credible/roussos_2024/variant_figures/roussos_2024.childhood.GLU/rs1562183_count_position.png",4,220,900)</f>
        <v/>
      </c>
      <c r="T3880">
        <f>IMAGE("https://mitra.stanford.edu/kundaje/oak/projects/neuro-variants/variant_position/credible/roussos_2024/variant_figures/roussos_2024.childhood.GLU/rs1562183_profile_position.png",4,220,900)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-0.00722084886</v>
      </c>
      <c r="G3881" t="n">
        <v>0.7333834033269816</v>
      </c>
      <c r="H3881" t="n">
        <v>0.0287835887672906</v>
      </c>
      <c r="I3881" t="n">
        <v>0.0255264847940356</v>
      </c>
      <c r="J3881" t="n">
        <v>0.0003008231427776</v>
      </c>
      <c r="K3881" t="n">
        <v>0.8935774356561175</v>
      </c>
      <c r="L3881" t="b">
        <v>0</v>
      </c>
      <c r="M3881" t="b">
        <v>0</v>
      </c>
      <c r="N3881" t="inlineStr">
        <is>
          <t>ref</t>
        </is>
      </c>
      <c r="O3881" t="n">
        <v>-85</v>
      </c>
      <c r="P3881" t="n">
        <v>0.2576</v>
      </c>
      <c r="Q3881" t="n">
        <v>-100</v>
      </c>
      <c r="R3881" t="n">
        <v>0.1399</v>
      </c>
      <c r="S3881">
        <f>IMAGE("https://mitra.stanford.edu/kundaje/oak/projects/neuro-variants/variant_position/credible/roussos_2024/variant_figures/roussos_2024.childhood.GLU/rs78759621_count_position.png",4,220,900)</f>
        <v/>
      </c>
      <c r="T3881">
        <f>IMAGE("https://mitra.stanford.edu/kundaje/oak/projects/neuro-variants/variant_position/credible/roussos_2024/variant_figures/roussos_2024.childhood.GLU/rs78759621_profile_position.png",4,220,900)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-0.01021745442</v>
      </c>
      <c r="G3882" t="n">
        <v>0.6605806905526452</v>
      </c>
      <c r="H3882" t="n">
        <v>0.018995612550048</v>
      </c>
      <c r="I3882" t="n">
        <v>0.1198948997403887</v>
      </c>
      <c r="J3882" t="n">
        <v>0.008638363192434001</v>
      </c>
      <c r="K3882" t="n">
        <v>0.6136096584002989</v>
      </c>
      <c r="L3882" t="b">
        <v>0</v>
      </c>
      <c r="M3882" t="b">
        <v>0</v>
      </c>
      <c r="N3882" t="inlineStr">
        <is>
          <t>ref</t>
        </is>
      </c>
      <c r="O3882" t="n">
        <v>-60</v>
      </c>
      <c r="P3882" t="n">
        <v>0.0003967</v>
      </c>
      <c r="Q3882" t="n">
        <v>-70</v>
      </c>
      <c r="R3882" t="n">
        <v>0.07635</v>
      </c>
      <c r="S3882">
        <f>IMAGE("https://mitra.stanford.edu/kundaje/oak/projects/neuro-variants/variant_position/credible/roussos_2024/variant_figures/roussos_2024.childhood.GLU/rs16882072_count_position.png",4,220,900)</f>
        <v/>
      </c>
      <c r="T3882">
        <f>IMAGE("https://mitra.stanford.edu/kundaje/oak/projects/neuro-variants/variant_position/credible/roussos_2024/variant_figures/roussos_2024.childhood.GLU/rs16882072_profile_position.png",4,220,900)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-0.002944944576</v>
      </c>
      <c r="G3883" t="n">
        <v>0.7953966271386381</v>
      </c>
      <c r="H3883" t="n">
        <v>0.0230089128392593</v>
      </c>
      <c r="I3883" t="n">
        <v>0.0590016028121852</v>
      </c>
      <c r="J3883" t="n">
        <v>0.0534105308704296</v>
      </c>
      <c r="K3883" t="n">
        <v>0.3452050740556248</v>
      </c>
      <c r="L3883" t="b">
        <v>0</v>
      </c>
      <c r="M3883" t="b">
        <v>0</v>
      </c>
      <c r="N3883" t="inlineStr">
        <is>
          <t>ref</t>
        </is>
      </c>
      <c r="O3883" t="n">
        <v>35</v>
      </c>
      <c r="P3883" t="n">
        <v>0.002441</v>
      </c>
      <c r="Q3883" t="n">
        <v>-100</v>
      </c>
      <c r="R3883" t="n">
        <v>0.1278</v>
      </c>
      <c r="S3883">
        <f>IMAGE("https://mitra.stanford.edu/kundaje/oak/projects/neuro-variants/variant_position/credible/roussos_2024/variant_figures/roussos_2024.childhood.GLU/rs11779986_count_position.png",4,220,900)</f>
        <v/>
      </c>
      <c r="T3883">
        <f>IMAGE("https://mitra.stanford.edu/kundaje/oak/projects/neuro-variants/variant_position/credible/roussos_2024/variant_figures/roussos_2024.childhood.GLU/rs11779986_profile_position.png",4,220,900)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0.0200730953999999</v>
      </c>
      <c r="G3884" t="n">
        <v>0.3503975836471428</v>
      </c>
      <c r="H3884" t="n">
        <v>0.0192676268248176</v>
      </c>
      <c r="I3884" t="n">
        <v>0.1101146801532219</v>
      </c>
      <c r="J3884" t="n">
        <v>0.1170500788115425</v>
      </c>
      <c r="K3884" t="n">
        <v>0.227651718112862</v>
      </c>
      <c r="L3884" t="b">
        <v>0</v>
      </c>
      <c r="M3884" t="b">
        <v>0</v>
      </c>
      <c r="N3884" t="inlineStr">
        <is>
          <t>alt</t>
        </is>
      </c>
      <c r="O3884" t="n">
        <v>-40</v>
      </c>
      <c r="P3884" t="n">
        <v>0.01794</v>
      </c>
      <c r="Q3884" t="n">
        <v>-100</v>
      </c>
      <c r="R3884" t="n">
        <v>0.1499</v>
      </c>
      <c r="S3884">
        <f>IMAGE("https://mitra.stanford.edu/kundaje/oak/projects/neuro-variants/variant_position/credible/roussos_2024/variant_figures/roussos_2024.childhood.GLU/rs4537271_count_position.png",4,220,900)</f>
        <v/>
      </c>
      <c r="T3884">
        <f>IMAGE("https://mitra.stanford.edu/kundaje/oak/projects/neuro-variants/variant_position/credible/roussos_2024/variant_figures/roussos_2024.childhood.GLU/rs4537271_profile_position.png",4,220,900)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-0.0182636851999999</v>
      </c>
      <c r="G3885" t="n">
        <v>0.5044512007202931</v>
      </c>
      <c r="H3885" t="n">
        <v>0.0450661565881157</v>
      </c>
      <c r="I3885" t="n">
        <v>0.0041497030358547</v>
      </c>
      <c r="J3885" t="n">
        <v>0.0296238680499036</v>
      </c>
      <c r="K3885" t="n">
        <v>0.4294372071993192</v>
      </c>
      <c r="L3885" t="b">
        <v>1</v>
      </c>
      <c r="M3885" t="b">
        <v>0</v>
      </c>
      <c r="N3885" t="inlineStr">
        <is>
          <t>ref</t>
        </is>
      </c>
      <c r="O3885" t="n">
        <v>60</v>
      </c>
      <c r="P3885" t="n">
        <v>0.004715</v>
      </c>
      <c r="Q3885" t="n">
        <v>60</v>
      </c>
      <c r="R3885" t="n">
        <v>0.08276</v>
      </c>
      <c r="S3885">
        <f>IMAGE("https://mitra.stanford.edu/kundaje/oak/projects/neuro-variants/variant_position/credible/roussos_2024/variant_figures/roussos_2024.childhood.GLU/rs111373244_count_position.png",4,220,900)</f>
        <v/>
      </c>
      <c r="T3885">
        <f>IMAGE("https://mitra.stanford.edu/kundaje/oak/projects/neuro-variants/variant_position/credible/roussos_2024/variant_figures/roussos_2024.childhood.GLU/rs111373244_profile_position.png",4,220,900)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-0.0255580246</v>
      </c>
      <c r="G3886" t="n">
        <v>0.3944135454834763</v>
      </c>
      <c r="H3886" t="n">
        <v>0.054955880493802</v>
      </c>
      <c r="I3886" t="n">
        <v>0.0018909640462022</v>
      </c>
      <c r="J3886" t="n">
        <v>0.0537041424995106</v>
      </c>
      <c r="K3886" t="n">
        <v>0.3494724278425044</v>
      </c>
      <c r="L3886" t="b">
        <v>1</v>
      </c>
      <c r="M3886" t="b">
        <v>1</v>
      </c>
      <c r="N3886" t="inlineStr">
        <is>
          <t>ref</t>
        </is>
      </c>
      <c r="O3886" t="n">
        <v>-100</v>
      </c>
      <c r="P3886" t="n">
        <v>0.01587</v>
      </c>
      <c r="Q3886" t="n">
        <v>-100</v>
      </c>
      <c r="R3886" t="n">
        <v>0.1414</v>
      </c>
      <c r="S3886">
        <f>IMAGE("https://mitra.stanford.edu/kundaje/oak/projects/neuro-variants/variant_position/credible/roussos_2024/variant_figures/roussos_2024.childhood.GLU/rs150171772_count_position.png",4,220,900)</f>
        <v/>
      </c>
      <c r="T3886">
        <f>IMAGE("https://mitra.stanford.edu/kundaje/oak/projects/neuro-variants/variant_position/credible/roussos_2024/variant_figures/roussos_2024.childhood.GLU/rs150171772_profile_position.png",4,220,900)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0.0499296544</v>
      </c>
      <c r="G3887" t="n">
        <v>0.1732085908374996</v>
      </c>
      <c r="H3887" t="n">
        <v>0.02449242791998</v>
      </c>
      <c r="I3887" t="n">
        <v>0.047377730516344</v>
      </c>
      <c r="J3887" t="n">
        <v>0.0868142623136596</v>
      </c>
      <c r="K3887" t="n">
        <v>0.2796611508417758</v>
      </c>
      <c r="L3887" t="b">
        <v>0</v>
      </c>
      <c r="M3887" t="b">
        <v>0</v>
      </c>
      <c r="N3887" t="inlineStr">
        <is>
          <t>alt</t>
        </is>
      </c>
      <c r="O3887" t="n">
        <v>-90</v>
      </c>
      <c r="P3887" t="n">
        <v>0.007233</v>
      </c>
      <c r="Q3887" t="n">
        <v>0</v>
      </c>
      <c r="R3887" t="n">
        <v>0</v>
      </c>
      <c r="S3887">
        <f>IMAGE("https://mitra.stanford.edu/kundaje/oak/projects/neuro-variants/variant_position/credible/roussos_2024/variant_figures/roussos_2024.childhood.GLU/rs10103315_count_position.png",4,220,900)</f>
        <v/>
      </c>
      <c r="T3887">
        <f>IMAGE("https://mitra.stanford.edu/kundaje/oak/projects/neuro-variants/variant_position/credible/roussos_2024/variant_figures/roussos_2024.childhood.GLU/rs10103315_profile_position.png",4,220,900)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-0.049987483</v>
      </c>
      <c r="G3888" t="n">
        <v>0.1833962536655897</v>
      </c>
      <c r="H3888" t="n">
        <v>0.0174883070687258</v>
      </c>
      <c r="I3888" t="n">
        <v>0.1604465238465383</v>
      </c>
      <c r="J3888" t="n">
        <v>0.0139728228955257</v>
      </c>
      <c r="K3888" t="n">
        <v>0.5464005079854061</v>
      </c>
      <c r="L3888" t="b">
        <v>0</v>
      </c>
      <c r="M3888" t="b">
        <v>0</v>
      </c>
      <c r="N3888" t="inlineStr">
        <is>
          <t>ref</t>
        </is>
      </c>
      <c r="O3888" t="n">
        <v>50</v>
      </c>
      <c r="P3888" t="n">
        <v>0.004204</v>
      </c>
      <c r="Q3888" t="n">
        <v>-80</v>
      </c>
      <c r="R3888" t="n">
        <v>0.0716</v>
      </c>
      <c r="S3888">
        <f>IMAGE("https://mitra.stanford.edu/kundaje/oak/projects/neuro-variants/variant_position/credible/roussos_2024/variant_figures/roussos_2024.childhood.GLU/rs56058270_count_position.png",4,220,900)</f>
        <v/>
      </c>
      <c r="T3888">
        <f>IMAGE("https://mitra.stanford.edu/kundaje/oak/projects/neuro-variants/variant_position/credible/roussos_2024/variant_figures/roussos_2024.childhood.GLU/rs56058270_profile_position.png",4,220,900)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0.212731998</v>
      </c>
      <c r="G3889" t="n">
        <v>0.0064003145572406</v>
      </c>
      <c r="H3889" t="n">
        <v>0.0533300930103438</v>
      </c>
      <c r="I3889" t="n">
        <v>0.0022922289889739</v>
      </c>
      <c r="J3889" t="n">
        <v>0.1322200129807246</v>
      </c>
      <c r="K3889" t="n">
        <v>0.210163690711315</v>
      </c>
      <c r="L3889" t="b">
        <v>1</v>
      </c>
      <c r="M3889" t="b">
        <v>1</v>
      </c>
      <c r="N3889" t="inlineStr">
        <is>
          <t>alt</t>
        </is>
      </c>
      <c r="O3889" t="n">
        <v>-5</v>
      </c>
      <c r="P3889" t="n">
        <v>0.0001221</v>
      </c>
      <c r="Q3889" t="n">
        <v>0</v>
      </c>
      <c r="R3889" t="n">
        <v>0</v>
      </c>
      <c r="S3889">
        <f>IMAGE("https://mitra.stanford.edu/kundaje/oak/projects/neuro-variants/variant_position/credible/roussos_2024/variant_figures/roussos_2024.childhood.GLU/rs57984710_count_position.png",4,220,900)</f>
        <v/>
      </c>
      <c r="T3889">
        <f>IMAGE("https://mitra.stanford.edu/kundaje/oak/projects/neuro-variants/variant_position/credible/roussos_2024/variant_figures/roussos_2024.childhood.GLU/rs57984710_profile_position.png",4,220,900)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-0.1096548509999999</v>
      </c>
      <c r="G3890" t="n">
        <v>0.0400116114180179</v>
      </c>
      <c r="H3890" t="n">
        <v>0.0150972503016975</v>
      </c>
      <c r="I3890" t="n">
        <v>0.2545283348106539</v>
      </c>
      <c r="J3890" t="n">
        <v>0.1550279703709808</v>
      </c>
      <c r="K3890" t="n">
        <v>0.1843056798087619</v>
      </c>
      <c r="L3890" t="b">
        <v>0</v>
      </c>
      <c r="M3890" t="b">
        <v>0</v>
      </c>
      <c r="N3890" t="inlineStr">
        <is>
          <t>ref</t>
        </is>
      </c>
      <c r="O3890" t="n">
        <v>-10</v>
      </c>
      <c r="P3890" t="n">
        <v>0.001125</v>
      </c>
      <c r="Q3890" t="n">
        <v>-100</v>
      </c>
      <c r="R3890" t="n">
        <v>0.1545</v>
      </c>
      <c r="S3890">
        <f>IMAGE("https://mitra.stanford.edu/kundaje/oak/projects/neuro-variants/variant_position/credible/roussos_2024/variant_figures/roussos_2024.childhood.GLU/rs1488934_count_position.png",4,220,900)</f>
        <v/>
      </c>
      <c r="T3890">
        <f>IMAGE("https://mitra.stanford.edu/kundaje/oak/projects/neuro-variants/variant_position/credible/roussos_2024/variant_figures/roussos_2024.childhood.GLU/rs1488934_profile_position.png",4,220,900)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0.1236466468</v>
      </c>
      <c r="G3891" t="n">
        <v>0.0293733841649539</v>
      </c>
      <c r="H3891" t="n">
        <v>0.0250267848514187</v>
      </c>
      <c r="I3891" t="n">
        <v>0.045098169050577</v>
      </c>
      <c r="J3891" t="n">
        <v>0.1771487735275634</v>
      </c>
      <c r="K3891" t="n">
        <v>0.1667276681781599</v>
      </c>
      <c r="L3891" t="b">
        <v>0</v>
      </c>
      <c r="M3891" t="b">
        <v>0</v>
      </c>
      <c r="N3891" t="inlineStr">
        <is>
          <t>alt</t>
        </is>
      </c>
      <c r="O3891" t="n">
        <v>95</v>
      </c>
      <c r="P3891" t="n">
        <v>0.005245</v>
      </c>
      <c r="Q3891" t="n">
        <v>100</v>
      </c>
      <c r="R3891" t="n">
        <v>0.2432</v>
      </c>
      <c r="S3891">
        <f>IMAGE("https://mitra.stanford.edu/kundaje/oak/projects/neuro-variants/variant_position/credible/roussos_2024/variant_figures/roussos_2024.childhood.GLU/rs1488935_count_position.png",4,220,900)</f>
        <v/>
      </c>
      <c r="T3891">
        <f>IMAGE("https://mitra.stanford.edu/kundaje/oak/projects/neuro-variants/variant_position/credible/roussos_2024/variant_figures/roussos_2024.childhood.GLU/rs1488935_profile_position.png",4,220,900)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0.0218092510399999</v>
      </c>
      <c r="G3892" t="n">
        <v>0.427440398996089</v>
      </c>
      <c r="H3892" t="n">
        <v>0.0112391318643406</v>
      </c>
      <c r="I3892" t="n">
        <v>0.5217494860510866</v>
      </c>
      <c r="J3892" t="n">
        <v>0.0519816209422357</v>
      </c>
      <c r="K3892" t="n">
        <v>0.3485651428430532</v>
      </c>
      <c r="L3892" t="b">
        <v>0</v>
      </c>
      <c r="M3892" t="b">
        <v>0</v>
      </c>
      <c r="N3892" t="inlineStr">
        <is>
          <t>alt</t>
        </is>
      </c>
      <c r="O3892" t="n">
        <v>-10</v>
      </c>
      <c r="P3892" t="n">
        <v>0.0007477</v>
      </c>
      <c r="Q3892" t="n">
        <v>65</v>
      </c>
      <c r="R3892" t="n">
        <v>0.11395</v>
      </c>
      <c r="S3892">
        <f>IMAGE("https://mitra.stanford.edu/kundaje/oak/projects/neuro-variants/variant_position/credible/roussos_2024/variant_figures/roussos_2024.childhood.GLU/rs12674515_count_position.png",4,220,900)</f>
        <v/>
      </c>
      <c r="T3892">
        <f>IMAGE("https://mitra.stanford.edu/kundaje/oak/projects/neuro-variants/variant_position/credible/roussos_2024/variant_figures/roussos_2024.childhood.GLU/rs12674515_profile_position.png",4,220,900)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0.0006731023</v>
      </c>
      <c r="G3893" t="n">
        <v>0.8299017612944872</v>
      </c>
      <c r="H3893" t="n">
        <v>0.0203946587715073</v>
      </c>
      <c r="I3893" t="n">
        <v>0.09089182878382859</v>
      </c>
      <c r="J3893" t="n">
        <v>0.0096345822988244</v>
      </c>
      <c r="K3893" t="n">
        <v>0.592481998387844</v>
      </c>
      <c r="L3893" t="b">
        <v>0</v>
      </c>
      <c r="M3893" t="b">
        <v>0</v>
      </c>
      <c r="N3893" t="inlineStr">
        <is>
          <t>alt</t>
        </is>
      </c>
      <c r="O3893" t="n">
        <v>-15</v>
      </c>
      <c r="P3893" t="n">
        <v>0.00166</v>
      </c>
      <c r="Q3893" t="n">
        <v>-90</v>
      </c>
      <c r="R3893" t="n">
        <v>0.1267</v>
      </c>
      <c r="S3893">
        <f>IMAGE("https://mitra.stanford.edu/kundaje/oak/projects/neuro-variants/variant_position/credible/roussos_2024/variant_figures/roussos_2024.childhood.GLU/rs7845284_count_position.png",4,220,900)</f>
        <v/>
      </c>
      <c r="T3893">
        <f>IMAGE("https://mitra.stanford.edu/kundaje/oak/projects/neuro-variants/variant_position/credible/roussos_2024/variant_figures/roussos_2024.childhood.GLU/rs7845284_profile_position.png",4,220,900)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-0.0440748304</v>
      </c>
      <c r="G3894" t="n">
        <v>0.1805439834685076</v>
      </c>
      <c r="H3894" t="n">
        <v>0.0144803698139638</v>
      </c>
      <c r="I3894" t="n">
        <v>0.2742227501760575</v>
      </c>
      <c r="J3894" t="n">
        <v>0.0201541203498613</v>
      </c>
      <c r="K3894" t="n">
        <v>0.5028299616101789</v>
      </c>
      <c r="L3894" t="b">
        <v>0</v>
      </c>
      <c r="M3894" t="b">
        <v>0</v>
      </c>
      <c r="N3894" t="inlineStr">
        <is>
          <t>ref</t>
        </is>
      </c>
      <c r="O3894" t="n">
        <v>-50</v>
      </c>
      <c r="P3894" t="n">
        <v>0.00464</v>
      </c>
      <c r="Q3894" t="n">
        <v>45</v>
      </c>
      <c r="R3894" t="n">
        <v>0.0083</v>
      </c>
      <c r="S3894">
        <f>IMAGE("https://mitra.stanford.edu/kundaje/oak/projects/neuro-variants/variant_position/credible/roussos_2024/variant_figures/roussos_2024.childhood.GLU/rs7823681_count_position.png",4,220,900)</f>
        <v/>
      </c>
      <c r="T3894">
        <f>IMAGE("https://mitra.stanford.edu/kundaje/oak/projects/neuro-variants/variant_position/credible/roussos_2024/variant_figures/roussos_2024.childhood.GLU/rs7823681_profile_position.png",4,220,900)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0.0242543232</v>
      </c>
      <c r="G3895" t="n">
        <v>0.3523297127207014</v>
      </c>
      <c r="H3895" t="n">
        <v>0.0139605365734417</v>
      </c>
      <c r="I3895" t="n">
        <v>0.3031660084719559</v>
      </c>
      <c r="J3895" t="n">
        <v>0.0324827181225338</v>
      </c>
      <c r="K3895" t="n">
        <v>0.4233900703148259</v>
      </c>
      <c r="L3895" t="b">
        <v>0</v>
      </c>
      <c r="M3895" t="b">
        <v>0</v>
      </c>
      <c r="N3895" t="inlineStr">
        <is>
          <t>alt</t>
        </is>
      </c>
      <c r="O3895" t="n">
        <v>-15</v>
      </c>
      <c r="P3895" t="n">
        <v>0.00354</v>
      </c>
      <c r="Q3895" t="n">
        <v>-5</v>
      </c>
      <c r="R3895" t="n">
        <v>0.001038</v>
      </c>
      <c r="S3895">
        <f>IMAGE("https://mitra.stanford.edu/kundaje/oak/projects/neuro-variants/variant_position/credible/roussos_2024/variant_figures/roussos_2024.childhood.GLU/rs12386951_count_position.png",4,220,900)</f>
        <v/>
      </c>
      <c r="T3895">
        <f>IMAGE("https://mitra.stanford.edu/kundaje/oak/projects/neuro-variants/variant_position/credible/roussos_2024/variant_figures/roussos_2024.childhood.GLU/rs12386951_profile_position.png",4,220,900)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0.0974805646</v>
      </c>
      <c r="G3896" t="n">
        <v>0.0498892511066134</v>
      </c>
      <c r="H3896" t="n">
        <v>0.0125986184224044</v>
      </c>
      <c r="I3896" t="n">
        <v>0.4013244007667813</v>
      </c>
      <c r="J3896" t="n">
        <v>0.0776844859736058</v>
      </c>
      <c r="K3896" t="n">
        <v>0.2836103815142219</v>
      </c>
      <c r="L3896" t="b">
        <v>0</v>
      </c>
      <c r="M3896" t="b">
        <v>0</v>
      </c>
      <c r="N3896" t="inlineStr">
        <is>
          <t>alt</t>
        </is>
      </c>
      <c r="O3896" t="n">
        <v>-45</v>
      </c>
      <c r="P3896" t="n">
        <v>0.00448</v>
      </c>
      <c r="Q3896" t="n">
        <v>55</v>
      </c>
      <c r="R3896" t="n">
        <v>0.07240000000000001</v>
      </c>
      <c r="S3896">
        <f>IMAGE("https://mitra.stanford.edu/kundaje/oak/projects/neuro-variants/variant_position/credible/roussos_2024/variant_figures/roussos_2024.childhood.GLU/rs28634296_count_position.png",4,220,900)</f>
        <v/>
      </c>
      <c r="T3896">
        <f>IMAGE("https://mitra.stanford.edu/kundaje/oak/projects/neuro-variants/variant_position/credible/roussos_2024/variant_figures/roussos_2024.childhood.GLU/rs28634296_profile_position.png",4,220,900)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-0.000939078</v>
      </c>
      <c r="G3897" t="n">
        <v>0.8080488632798417</v>
      </c>
      <c r="H3897" t="n">
        <v>0.009740785328310001</v>
      </c>
      <c r="I3897" t="n">
        <v>0.6983727186457335</v>
      </c>
      <c r="J3897" t="n">
        <v>0.0299329329226204</v>
      </c>
      <c r="K3897" t="n">
        <v>0.4302447627607381</v>
      </c>
      <c r="L3897" t="b">
        <v>0</v>
      </c>
      <c r="M3897" t="b">
        <v>0</v>
      </c>
      <c r="N3897" t="inlineStr">
        <is>
          <t>ref</t>
        </is>
      </c>
      <c r="O3897" t="n">
        <v>-95</v>
      </c>
      <c r="P3897" t="n">
        <v>0.03568</v>
      </c>
      <c r="Q3897" t="n">
        <v>-25</v>
      </c>
      <c r="R3897" t="n">
        <v>0.07969999999999999</v>
      </c>
      <c r="S3897">
        <f>IMAGE("https://mitra.stanford.edu/kundaje/oak/projects/neuro-variants/variant_position/credible/roussos_2024/variant_figures/roussos_2024.childhood.GLU/rs2130033_count_position.png",4,220,900)</f>
        <v/>
      </c>
      <c r="T3897">
        <f>IMAGE("https://mitra.stanford.edu/kundaje/oak/projects/neuro-variants/variant_position/credible/roussos_2024/variant_figures/roussos_2024.childhood.GLU/rs2130033_profile_position.png",4,220,900)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0.069788459</v>
      </c>
      <c r="G3898" t="n">
        <v>0.0950947667031332</v>
      </c>
      <c r="H3898" t="n">
        <v>0.009858770119343999</v>
      </c>
      <c r="I3898" t="n">
        <v>0.6734585539197804</v>
      </c>
      <c r="J3898" t="n">
        <v>5.563167708901833e-05</v>
      </c>
      <c r="K3898" t="n">
        <v>0.9620620689924672</v>
      </c>
      <c r="L3898" t="b">
        <v>0</v>
      </c>
      <c r="M3898" t="b">
        <v>0</v>
      </c>
      <c r="N3898" t="inlineStr">
        <is>
          <t>alt</t>
        </is>
      </c>
      <c r="O3898" t="n">
        <v>75</v>
      </c>
      <c r="P3898" t="n">
        <v>0.005447</v>
      </c>
      <c r="Q3898" t="n">
        <v>-25</v>
      </c>
      <c r="R3898" t="n">
        <v>0.03882</v>
      </c>
      <c r="S3898">
        <f>IMAGE("https://mitra.stanford.edu/kundaje/oak/projects/neuro-variants/variant_position/credible/roussos_2024/variant_figures/roussos_2024.childhood.GLU/rs16887343_count_position.png",4,220,900)</f>
        <v/>
      </c>
      <c r="T3898">
        <f>IMAGE("https://mitra.stanford.edu/kundaje/oak/projects/neuro-variants/variant_position/credible/roussos_2024/variant_figures/roussos_2024.childhood.GLU/rs16887343_profile_position.png",4,220,900)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0.0017436671</v>
      </c>
      <c r="G3899" t="n">
        <v>0.6946202938761774</v>
      </c>
      <c r="H3899" t="n">
        <v>0.0196992734331027</v>
      </c>
      <c r="I3899" t="n">
        <v>0.1091832349727269</v>
      </c>
      <c r="J3899" t="n">
        <v>0.9366890910402093</v>
      </c>
      <c r="K3899" t="n">
        <v>0.0007577320406412</v>
      </c>
      <c r="L3899" t="b">
        <v>0</v>
      </c>
      <c r="M3899" t="b">
        <v>0</v>
      </c>
      <c r="N3899" t="inlineStr">
        <is>
          <t>alt</t>
        </is>
      </c>
      <c r="O3899" t="n">
        <v>70</v>
      </c>
      <c r="P3899" t="n">
        <v>0.00293</v>
      </c>
      <c r="Q3899" t="n">
        <v>-65</v>
      </c>
      <c r="R3899" t="n">
        <v>0.02539</v>
      </c>
      <c r="S3899">
        <f>IMAGE("https://mitra.stanford.edu/kundaje/oak/projects/neuro-variants/variant_position/credible/roussos_2024/variant_figures/roussos_2024.childhood.GLU/rs60558877_count_position.png",4,220,900)</f>
        <v/>
      </c>
      <c r="T3899">
        <f>IMAGE("https://mitra.stanford.edu/kundaje/oak/projects/neuro-variants/variant_position/credible/roussos_2024/variant_figures/roussos_2024.childhood.GLU/rs60558877_profile_position.png",4,220,900)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-0.211400766</v>
      </c>
      <c r="G3900" t="n">
        <v>0.0064558191322214</v>
      </c>
      <c r="H3900" t="n">
        <v>0.0334519596969678</v>
      </c>
      <c r="I3900" t="n">
        <v>0.0160717037716957</v>
      </c>
      <c r="J3900" t="n">
        <v>0.1518322395870893</v>
      </c>
      <c r="K3900" t="n">
        <v>0.1920402402785853</v>
      </c>
      <c r="L3900" t="b">
        <v>1</v>
      </c>
      <c r="M3900" t="b">
        <v>1</v>
      </c>
      <c r="N3900" t="inlineStr">
        <is>
          <t>ref</t>
        </is>
      </c>
      <c r="O3900" t="n">
        <v>-80</v>
      </c>
      <c r="P3900" t="n">
        <v>0.008644000000000001</v>
      </c>
      <c r="Q3900" t="n">
        <v>95</v>
      </c>
      <c r="R3900" t="n">
        <v>0.3752</v>
      </c>
      <c r="S3900">
        <f>IMAGE("https://mitra.stanford.edu/kundaje/oak/projects/neuro-variants/variant_position/credible/roussos_2024/variant_figures/roussos_2024.childhood.GLU/rs2016875_count_position.png",4,220,900)</f>
        <v/>
      </c>
      <c r="T3900">
        <f>IMAGE("https://mitra.stanford.edu/kundaje/oak/projects/neuro-variants/variant_position/credible/roussos_2024/variant_figures/roussos_2024.childhood.GLU/rs2016875_profile_position.png",4,220,900)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0.0009114215400000001</v>
      </c>
      <c r="G3901" t="n">
        <v>0.7790122584496185</v>
      </c>
      <c r="H3901" t="n">
        <v>0.0081858938569697</v>
      </c>
      <c r="I3901" t="n">
        <v>0.8447449441325395</v>
      </c>
      <c r="J3901" t="n">
        <v>0.028600863321211</v>
      </c>
      <c r="K3901" t="n">
        <v>0.4381991326968887</v>
      </c>
      <c r="L3901" t="b">
        <v>0</v>
      </c>
      <c r="M3901" t="b">
        <v>0</v>
      </c>
      <c r="N3901" t="inlineStr">
        <is>
          <t>alt</t>
        </is>
      </c>
      <c r="O3901" t="n">
        <v>-75</v>
      </c>
      <c r="P3901" t="n">
        <v>0.010704</v>
      </c>
      <c r="Q3901" t="n">
        <v>100</v>
      </c>
      <c r="R3901" t="n">
        <v>0.03662</v>
      </c>
      <c r="S3901">
        <f>IMAGE("https://mitra.stanford.edu/kundaje/oak/projects/neuro-variants/variant_position/credible/roussos_2024/variant_figures/roussos_2024.childhood.GLU/rs28681082_count_position.png",4,220,900)</f>
        <v/>
      </c>
      <c r="T3901">
        <f>IMAGE("https://mitra.stanford.edu/kundaje/oak/projects/neuro-variants/variant_position/credible/roussos_2024/variant_figures/roussos_2024.childhood.GLU/rs28681082_profile_position.png",4,220,900)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0.09584763</v>
      </c>
      <c r="G3902" t="n">
        <v>0.0503191666141322</v>
      </c>
      <c r="H3902" t="n">
        <v>0.0230209635803445</v>
      </c>
      <c r="I3902" t="n">
        <v>0.06294485511200749</v>
      </c>
      <c r="J3902" t="n">
        <v>0.4766954783809122</v>
      </c>
      <c r="K3902" t="n">
        <v>0.0467806942950517</v>
      </c>
      <c r="L3902" t="b">
        <v>0</v>
      </c>
      <c r="M3902" t="b">
        <v>0</v>
      </c>
      <c r="N3902" t="inlineStr">
        <is>
          <t>alt</t>
        </is>
      </c>
      <c r="O3902" t="n">
        <v>100</v>
      </c>
      <c r="P3902" t="n">
        <v>0.003914</v>
      </c>
      <c r="Q3902" t="n">
        <v>0</v>
      </c>
      <c r="R3902" t="n">
        <v>0</v>
      </c>
      <c r="S3902">
        <f>IMAGE("https://mitra.stanford.edu/kundaje/oak/projects/neuro-variants/variant_position/credible/roussos_2024/variant_figures/roussos_2024.childhood.GLU/rs4647905_count_position.png",4,220,900)</f>
        <v/>
      </c>
      <c r="T3902">
        <f>IMAGE("https://mitra.stanford.edu/kundaje/oak/projects/neuro-variants/variant_position/credible/roussos_2024/variant_figures/roussos_2024.childhood.GLU/rs4647905_profile_position.png",4,220,900)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-0.0268855196</v>
      </c>
      <c r="G3903" t="n">
        <v>0.3806804189392631</v>
      </c>
      <c r="H3903" t="n">
        <v>0.0098306874065819</v>
      </c>
      <c r="I3903" t="n">
        <v>0.6745073813751308</v>
      </c>
      <c r="J3903" t="n">
        <v>0.6887314947407461</v>
      </c>
      <c r="K3903" t="n">
        <v>0.0159354213313987</v>
      </c>
      <c r="L3903" t="b">
        <v>0</v>
      </c>
      <c r="M3903" t="b">
        <v>0</v>
      </c>
      <c r="N3903" t="inlineStr">
        <is>
          <t>ref</t>
        </is>
      </c>
      <c r="O3903" t="n">
        <v>70</v>
      </c>
      <c r="P3903" t="n">
        <v>0.00412</v>
      </c>
      <c r="Q3903" t="n">
        <v>-100</v>
      </c>
      <c r="R3903" t="n">
        <v>0.1252</v>
      </c>
      <c r="S3903">
        <f>IMAGE("https://mitra.stanford.edu/kundaje/oak/projects/neuro-variants/variant_position/credible/roussos_2024/variant_figures/roussos_2024.childhood.GLU/rs4647907_count_position.png",4,220,900)</f>
        <v/>
      </c>
      <c r="T3903">
        <f>IMAGE("https://mitra.stanford.edu/kundaje/oak/projects/neuro-variants/variant_position/credible/roussos_2024/variant_figures/roussos_2024.childhood.GLU/rs4647907_profile_position.png",4,220,900)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-0.1459026338</v>
      </c>
      <c r="G3904" t="n">
        <v>0.0190146433692194</v>
      </c>
      <c r="H3904" t="n">
        <v>0.0280271838151323</v>
      </c>
      <c r="I3904" t="n">
        <v>0.0286600562847403</v>
      </c>
      <c r="J3904" t="n">
        <v>0.5863547858695539</v>
      </c>
      <c r="K3904" t="n">
        <v>0.0287198812385975</v>
      </c>
      <c r="L3904" t="b">
        <v>1</v>
      </c>
      <c r="M3904" t="b">
        <v>0</v>
      </c>
      <c r="N3904" t="inlineStr">
        <is>
          <t>ref</t>
        </is>
      </c>
      <c r="O3904" t="n">
        <v>65</v>
      </c>
      <c r="P3904" t="n">
        <v>0.00327</v>
      </c>
      <c r="Q3904" t="n">
        <v>-35</v>
      </c>
      <c r="R3904" t="n">
        <v>0.0625</v>
      </c>
      <c r="S3904">
        <f>IMAGE("https://mitra.stanford.edu/kundaje/oak/projects/neuro-variants/variant_position/credible/roussos_2024/variant_figures/roussos_2024.childhood.GLU/rs7005874_count_position.png",4,220,900)</f>
        <v/>
      </c>
      <c r="T3904">
        <f>IMAGE("https://mitra.stanford.edu/kundaje/oak/projects/neuro-variants/variant_position/credible/roussos_2024/variant_figures/roussos_2024.childhood.GLU/rs7005874_profile_position.png",4,220,900)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-0.033388928</v>
      </c>
      <c r="G3905" t="n">
        <v>0.3052312175654235</v>
      </c>
      <c r="H3905" t="n">
        <v>0.010760369714476</v>
      </c>
      <c r="I3905" t="n">
        <v>0.5828861642051807</v>
      </c>
      <c r="J3905" t="n">
        <v>0.2320170603809739</v>
      </c>
      <c r="K3905" t="n">
        <v>0.1304600758988588</v>
      </c>
      <c r="L3905" t="b">
        <v>0</v>
      </c>
      <c r="M3905" t="b">
        <v>0</v>
      </c>
      <c r="N3905" t="inlineStr">
        <is>
          <t>ref</t>
        </is>
      </c>
      <c r="O3905" t="n">
        <v>55</v>
      </c>
      <c r="P3905" t="n">
        <v>0.003254</v>
      </c>
      <c r="Q3905" t="n">
        <v>15</v>
      </c>
      <c r="R3905" t="n">
        <v>0.01282</v>
      </c>
      <c r="S3905">
        <f>IMAGE("https://mitra.stanford.edu/kundaje/oak/projects/neuro-variants/variant_position/credible/roussos_2024/variant_figures/roussos_2024.childhood.GLU/rs62640287_count_position.png",4,220,900)</f>
        <v/>
      </c>
      <c r="T3905">
        <f>IMAGE("https://mitra.stanford.edu/kundaje/oak/projects/neuro-variants/variant_position/credible/roussos_2024/variant_figures/roussos_2024.childhood.GLU/rs62640287_profile_position.png",4,220,900)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-0.00777818374</v>
      </c>
      <c r="G3906" t="n">
        <v>0.6645485290392797</v>
      </c>
      <c r="H3906" t="n">
        <v>0.009319106176343</v>
      </c>
      <c r="I3906" t="n">
        <v>0.7241064475392252</v>
      </c>
      <c r="J3906" t="n">
        <v>0.5640093955721306</v>
      </c>
      <c r="K3906" t="n">
        <v>0.0317275639907901</v>
      </c>
      <c r="L3906" t="b">
        <v>0</v>
      </c>
      <c r="M3906" t="b">
        <v>0</v>
      </c>
      <c r="N3906" t="inlineStr">
        <is>
          <t>ref</t>
        </is>
      </c>
      <c r="O3906" t="n">
        <v>-100</v>
      </c>
      <c r="P3906" t="n">
        <v>0.006386</v>
      </c>
      <c r="Q3906" t="n">
        <v>-15</v>
      </c>
      <c r="R3906" t="n">
        <v>0.02106</v>
      </c>
      <c r="S3906">
        <f>IMAGE("https://mitra.stanford.edu/kundaje/oak/projects/neuro-variants/variant_position/credible/roussos_2024/variant_figures/roussos_2024.childhood.GLU/rs16890077_count_position.png",4,220,900)</f>
        <v/>
      </c>
      <c r="T3906">
        <f>IMAGE("https://mitra.stanford.edu/kundaje/oak/projects/neuro-variants/variant_position/credible/roussos_2024/variant_figures/roussos_2024.childhood.GLU/rs16890077_profile_position.png",4,220,900)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0.0099787091</v>
      </c>
      <c r="G3907" t="n">
        <v>0.6507364860643391</v>
      </c>
      <c r="H3907" t="n">
        <v>0.0206935407449549</v>
      </c>
      <c r="I3907" t="n">
        <v>0.0863143614463828</v>
      </c>
      <c r="J3907" t="n">
        <v>0.0020377677274459</v>
      </c>
      <c r="K3907" t="n">
        <v>0.7716402046631807</v>
      </c>
      <c r="L3907" t="b">
        <v>0</v>
      </c>
      <c r="M3907" t="b">
        <v>0</v>
      </c>
      <c r="N3907" t="inlineStr">
        <is>
          <t>alt</t>
        </is>
      </c>
      <c r="O3907" t="n">
        <v>-75</v>
      </c>
      <c r="P3907" t="n">
        <v>0.001678</v>
      </c>
      <c r="Q3907" t="n">
        <v>-85</v>
      </c>
      <c r="R3907" t="n">
        <v>0.04755</v>
      </c>
      <c r="S3907">
        <f>IMAGE("https://mitra.stanford.edu/kundaje/oak/projects/neuro-variants/variant_position/credible/roussos_2024/variant_figures/roussos_2024.childhood.GLU/rs4498530_count_position.png",4,220,900)</f>
        <v/>
      </c>
      <c r="T3907">
        <f>IMAGE("https://mitra.stanford.edu/kundaje/oak/projects/neuro-variants/variant_position/credible/roussos_2024/variant_figures/roussos_2024.childhood.GLU/rs4498530_profile_position.png",4,220,900)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-0.0827121086</v>
      </c>
      <c r="G3908" t="n">
        <v>0.073710259409839</v>
      </c>
      <c r="H3908" t="n">
        <v>0.0213962749642662</v>
      </c>
      <c r="I3908" t="n">
        <v>0.0781700537882042</v>
      </c>
      <c r="J3908" t="n">
        <v>0.0071177640186674</v>
      </c>
      <c r="K3908" t="n">
        <v>0.6292439553491715</v>
      </c>
      <c r="L3908" t="b">
        <v>0</v>
      </c>
      <c r="M3908" t="b">
        <v>0</v>
      </c>
      <c r="N3908" t="inlineStr">
        <is>
          <t>ref</t>
        </is>
      </c>
      <c r="O3908" t="n">
        <v>20</v>
      </c>
      <c r="P3908" t="n">
        <v>0.003405</v>
      </c>
      <c r="Q3908" t="n">
        <v>-35</v>
      </c>
      <c r="R3908" t="n">
        <v>0.034</v>
      </c>
      <c r="S3908">
        <f>IMAGE("https://mitra.stanford.edu/kundaje/oak/projects/neuro-variants/variant_position/credible/roussos_2024/variant_figures/roussos_2024.childhood.GLU/rs10105030_count_position.png",4,220,900)</f>
        <v/>
      </c>
      <c r="T3908">
        <f>IMAGE("https://mitra.stanford.edu/kundaje/oak/projects/neuro-variants/variant_position/credible/roussos_2024/variant_figures/roussos_2024.childhood.GLU/rs10105030_profile_position.png",4,220,900)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0.00189630613</v>
      </c>
      <c r="G3909" t="n">
        <v>0.8505044634232158</v>
      </c>
      <c r="H3909" t="n">
        <v>0.0348026905258216</v>
      </c>
      <c r="I3909" t="n">
        <v>0.0116619781972296</v>
      </c>
      <c r="J3909" t="n">
        <v>0.0142509812809708</v>
      </c>
      <c r="K3909" t="n">
        <v>0.5390502946395869</v>
      </c>
      <c r="L3909" t="b">
        <v>1</v>
      </c>
      <c r="M3909" t="b">
        <v>0</v>
      </c>
      <c r="N3909" t="inlineStr">
        <is>
          <t>alt</t>
        </is>
      </c>
      <c r="O3909" t="n">
        <v>-100</v>
      </c>
      <c r="P3909" t="n">
        <v>0.01637</v>
      </c>
      <c r="Q3909" t="n">
        <v>-25</v>
      </c>
      <c r="R3909" t="n">
        <v>0.02005</v>
      </c>
      <c r="S3909">
        <f>IMAGE("https://mitra.stanford.edu/kundaje/oak/projects/neuro-variants/variant_position/credible/roussos_2024/variant_figures/roussos_2024.childhood.GLU/rs4873621_count_position.png",4,220,900)</f>
        <v/>
      </c>
      <c r="T3909">
        <f>IMAGE("https://mitra.stanford.edu/kundaje/oak/projects/neuro-variants/variant_position/credible/roussos_2024/variant_figures/roussos_2024.childhood.GLU/rs4873621_profile_position.png",4,220,900)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-0.01957382354</v>
      </c>
      <c r="G3910" t="n">
        <v>0.4629921583619615</v>
      </c>
      <c r="H3910" t="n">
        <v>0.0101346699342849</v>
      </c>
      <c r="I3910" t="n">
        <v>0.6324367786538995</v>
      </c>
      <c r="J3910" t="n">
        <v>0.0090792957441766</v>
      </c>
      <c r="K3910" t="n">
        <v>0.5978417606059367</v>
      </c>
      <c r="L3910" t="b">
        <v>0</v>
      </c>
      <c r="M3910" t="b">
        <v>0</v>
      </c>
      <c r="N3910" t="inlineStr">
        <is>
          <t>ref</t>
        </is>
      </c>
      <c r="O3910" t="n">
        <v>95</v>
      </c>
      <c r="P3910" t="n">
        <v>0.010025</v>
      </c>
      <c r="Q3910" t="n">
        <v>55</v>
      </c>
      <c r="R3910" t="n">
        <v>0.0721</v>
      </c>
      <c r="S3910">
        <f>IMAGE("https://mitra.stanford.edu/kundaje/oak/projects/neuro-variants/variant_position/credible/roussos_2024/variant_figures/roussos_2024.childhood.GLU/rs16917075_count_position.png",4,220,900)</f>
        <v/>
      </c>
      <c r="T3910">
        <f>IMAGE("https://mitra.stanford.edu/kundaje/oak/projects/neuro-variants/variant_position/credible/roussos_2024/variant_figures/roussos_2024.childhood.GLU/rs16917075_profile_position.png",4,220,900)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-0.136232904</v>
      </c>
      <c r="G3911" t="n">
        <v>0.0233607513867131</v>
      </c>
      <c r="H3911" t="n">
        <v>0.0218795238209135</v>
      </c>
      <c r="I3911" t="n">
        <v>0.0812578957556923</v>
      </c>
      <c r="J3911" t="n">
        <v>0.0143127942555141</v>
      </c>
      <c r="K3911" t="n">
        <v>0.5374508522824939</v>
      </c>
      <c r="L3911" t="b">
        <v>0</v>
      </c>
      <c r="M3911" t="b">
        <v>0</v>
      </c>
      <c r="N3911" t="inlineStr">
        <is>
          <t>ref</t>
        </is>
      </c>
      <c r="O3911" t="n">
        <v>100</v>
      </c>
      <c r="P3911" t="n">
        <v>0.013725</v>
      </c>
      <c r="Q3911" t="n">
        <v>-100</v>
      </c>
      <c r="R3911" t="n">
        <v>0.10236</v>
      </c>
      <c r="S3911">
        <f>IMAGE("https://mitra.stanford.edu/kundaje/oak/projects/neuro-variants/variant_position/credible/roussos_2024/variant_figures/roussos_2024.childhood.GLU/rs62514618_count_position.png",4,220,900)</f>
        <v/>
      </c>
      <c r="T3911">
        <f>IMAGE("https://mitra.stanford.edu/kundaje/oak/projects/neuro-variants/variant_position/credible/roussos_2024/variant_figures/roussos_2024.childhood.GLU/rs62514618_profile_position.png",4,220,900)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-0.0601026116</v>
      </c>
      <c r="G3912" t="n">
        <v>0.1354770751408634</v>
      </c>
      <c r="H3912" t="n">
        <v>0.0132460495668554</v>
      </c>
      <c r="I3912" t="n">
        <v>0.3637768963068028</v>
      </c>
      <c r="J3912" t="n">
        <v>0.00702401434061</v>
      </c>
      <c r="K3912" t="n">
        <v>0.6348600906247452</v>
      </c>
      <c r="L3912" t="b">
        <v>0</v>
      </c>
      <c r="M3912" t="b">
        <v>0</v>
      </c>
      <c r="N3912" t="inlineStr">
        <is>
          <t>ref</t>
        </is>
      </c>
      <c r="O3912" t="n">
        <v>25</v>
      </c>
      <c r="P3912" t="n">
        <v>0.010025</v>
      </c>
      <c r="Q3912" t="n">
        <v>100</v>
      </c>
      <c r="R3912" t="n">
        <v>0.0737</v>
      </c>
      <c r="S3912">
        <f>IMAGE("https://mitra.stanford.edu/kundaje/oak/projects/neuro-variants/variant_position/credible/roussos_2024/variant_figures/roussos_2024.childhood.GLU/rs41444144_count_position.png",4,220,900)</f>
        <v/>
      </c>
      <c r="T3912">
        <f>IMAGE("https://mitra.stanford.edu/kundaje/oak/projects/neuro-variants/variant_position/credible/roussos_2024/variant_figures/roussos_2024.childhood.GLU/rs41444144_profile_position.png",4,220,900)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0.020938961</v>
      </c>
      <c r="G3913" t="n">
        <v>0.3146178096962224</v>
      </c>
      <c r="H3913" t="n">
        <v>0.0155455575864015</v>
      </c>
      <c r="I3913" t="n">
        <v>0.2246751928757265</v>
      </c>
      <c r="J3913" t="n">
        <v>0.0035449740900614</v>
      </c>
      <c r="K3913" t="n">
        <v>0.7109565417747454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0.01286</v>
      </c>
      <c r="Q3913" t="n">
        <v>-75</v>
      </c>
      <c r="R3913" t="n">
        <v>0.0238</v>
      </c>
      <c r="S3913">
        <f>IMAGE("https://mitra.stanford.edu/kundaje/oak/projects/neuro-variants/variant_position/credible/roussos_2024/variant_figures/roussos_2024.childhood.GLU/rs858392_count_position.png",4,220,900)</f>
        <v/>
      </c>
      <c r="T3913">
        <f>IMAGE("https://mitra.stanford.edu/kundaje/oak/projects/neuro-variants/variant_position/credible/roussos_2024/variant_figures/roussos_2024.childhood.GLU/rs858392_profile_position.png",4,220,900)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0.00042324352</v>
      </c>
      <c r="G3914" t="n">
        <v>0.740922491649126</v>
      </c>
      <c r="H3914" t="n">
        <v>0.0174869244793334</v>
      </c>
      <c r="I3914" t="n">
        <v>0.1525576401759201</v>
      </c>
      <c r="J3914" t="n">
        <v>0.0269803331719327</v>
      </c>
      <c r="K3914" t="n">
        <v>0.4509553619919826</v>
      </c>
      <c r="L3914" t="b">
        <v>0</v>
      </c>
      <c r="M3914" t="b">
        <v>0</v>
      </c>
      <c r="N3914" t="inlineStr">
        <is>
          <t>alt</t>
        </is>
      </c>
      <c r="O3914" t="n">
        <v>100</v>
      </c>
      <c r="P3914" t="n">
        <v>0.01724</v>
      </c>
      <c r="Q3914" t="n">
        <v>50</v>
      </c>
      <c r="R3914" t="n">
        <v>0.0246</v>
      </c>
      <c r="S3914">
        <f>IMAGE("https://mitra.stanford.edu/kundaje/oak/projects/neuro-variants/variant_position/credible/roussos_2024/variant_figures/roussos_2024.childhood.GLU/rs72650344_count_position.png",4,220,900)</f>
        <v/>
      </c>
      <c r="T3914">
        <f>IMAGE("https://mitra.stanford.edu/kundaje/oak/projects/neuro-variants/variant_position/credible/roussos_2024/variant_figures/roussos_2024.childhood.GLU/rs72650344_profile_position.png",4,220,900)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-0.018329298</v>
      </c>
      <c r="G3915" t="n">
        <v>0.4082654921023822</v>
      </c>
      <c r="H3915" t="n">
        <v>0.0138654703488312</v>
      </c>
      <c r="I3915" t="n">
        <v>0.3211679908340812</v>
      </c>
      <c r="J3915" t="n">
        <v>0.0622827531498861</v>
      </c>
      <c r="K3915" t="n">
        <v>0.3240253831994349</v>
      </c>
      <c r="L3915" t="b">
        <v>0</v>
      </c>
      <c r="M3915" t="b">
        <v>0</v>
      </c>
      <c r="N3915" t="inlineStr">
        <is>
          <t>ref</t>
        </is>
      </c>
      <c r="O3915" t="n">
        <v>-100</v>
      </c>
      <c r="P3915" t="n">
        <v>0.009719999999999999</v>
      </c>
      <c r="Q3915" t="n">
        <v>-30</v>
      </c>
      <c r="R3915" t="n">
        <v>0.04767</v>
      </c>
      <c r="S3915">
        <f>IMAGE("https://mitra.stanford.edu/kundaje/oak/projects/neuro-variants/variant_position/credible/roussos_2024/variant_figures/roussos_2024.childhood.GLU/rs6984055_count_position.png",4,220,900)</f>
        <v/>
      </c>
      <c r="T3915">
        <f>IMAGE("https://mitra.stanford.edu/kundaje/oak/projects/neuro-variants/variant_position/credible/roussos_2024/variant_figures/roussos_2024.childhood.GLU/rs6984055_profile_position.png",4,220,900)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0.245826998</v>
      </c>
      <c r="G3916" t="n">
        <v>0.0046985393345685</v>
      </c>
      <c r="H3916" t="n">
        <v>0.0419341521480833</v>
      </c>
      <c r="I3916" t="n">
        <v>0.0057652562134731</v>
      </c>
      <c r="J3916" t="n">
        <v>0.0223165442426364</v>
      </c>
      <c r="K3916" t="n">
        <v>0.4818743627675671</v>
      </c>
      <c r="L3916" t="b">
        <v>1</v>
      </c>
      <c r="M3916" t="b">
        <v>1</v>
      </c>
      <c r="N3916" t="inlineStr">
        <is>
          <t>alt</t>
        </is>
      </c>
      <c r="O3916" t="n">
        <v>-75</v>
      </c>
      <c r="P3916" t="n">
        <v>0.00579</v>
      </c>
      <c r="Q3916" t="n">
        <v>-90</v>
      </c>
      <c r="R3916" t="n">
        <v>0.0978</v>
      </c>
      <c r="S3916">
        <f>IMAGE("https://mitra.stanford.edu/kundaje/oak/projects/neuro-variants/variant_position/credible/roussos_2024/variant_figures/roussos_2024.childhood.GLU/rs56956895_count_position.png",4,220,900)</f>
        <v/>
      </c>
      <c r="T3916">
        <f>IMAGE("https://mitra.stanford.edu/kundaje/oak/projects/neuro-variants/variant_position/credible/roussos_2024/variant_figures/roussos_2024.childhood.GLU/rs56956895_profile_position.png",4,220,900)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0.04976642242</v>
      </c>
      <c r="G3917" t="n">
        <v>0.23347678959735</v>
      </c>
      <c r="H3917" t="n">
        <v>0.0169122801771322</v>
      </c>
      <c r="I3917" t="n">
        <v>0.1894152813582269</v>
      </c>
      <c r="J3917" t="n">
        <v>0.0059082901501024</v>
      </c>
      <c r="K3917" t="n">
        <v>0.6630725933192628</v>
      </c>
      <c r="L3917" t="b">
        <v>0</v>
      </c>
      <c r="M3917" t="b">
        <v>0</v>
      </c>
      <c r="N3917" t="inlineStr">
        <is>
          <t>alt</t>
        </is>
      </c>
      <c r="O3917" t="n">
        <v>-10</v>
      </c>
      <c r="P3917" t="n">
        <v>0.001156</v>
      </c>
      <c r="Q3917" t="n">
        <v>-75</v>
      </c>
      <c r="R3917" t="n">
        <v>0.06884999999999999</v>
      </c>
      <c r="S3917">
        <f>IMAGE("https://mitra.stanford.edu/kundaje/oak/projects/neuro-variants/variant_position/credible/roussos_2024/variant_figures/roussos_2024.childhood.GLU/rs9298512_count_position.png",4,220,900)</f>
        <v/>
      </c>
      <c r="T3917">
        <f>IMAGE("https://mitra.stanford.edu/kundaje/oak/projects/neuro-variants/variant_position/credible/roussos_2024/variant_figures/roussos_2024.childhood.GLU/rs9298512_profile_position.png",4,220,900)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0.00436185866</v>
      </c>
      <c r="G3918" t="n">
        <v>0.7079038290504875</v>
      </c>
      <c r="H3918" t="n">
        <v>0.009498298704883799</v>
      </c>
      <c r="I3918" t="n">
        <v>0.7215206724095625</v>
      </c>
      <c r="J3918" t="n">
        <v>0.0241905075875425</v>
      </c>
      <c r="K3918" t="n">
        <v>0.460567532639505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0.01866</v>
      </c>
      <c r="Q3918" t="n">
        <v>-100</v>
      </c>
      <c r="R3918" t="n">
        <v>0.0757</v>
      </c>
      <c r="S3918">
        <f>IMAGE("https://mitra.stanford.edu/kundaje/oak/projects/neuro-variants/variant_position/credible/roussos_2024/variant_figures/roussos_2024.childhood.GLU/rs1498180_count_position.png",4,220,900)</f>
        <v/>
      </c>
      <c r="T3918">
        <f>IMAGE("https://mitra.stanford.edu/kundaje/oak/projects/neuro-variants/variant_position/credible/roussos_2024/variant_figures/roussos_2024.childhood.GLU/rs1498180_profile_position.png",4,220,900)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-0.09201606399999999</v>
      </c>
      <c r="G3919" t="n">
        <v>0.0588446397424742</v>
      </c>
      <c r="H3919" t="n">
        <v>0.0117823373643034</v>
      </c>
      <c r="I3919" t="n">
        <v>0.4619885956491769</v>
      </c>
      <c r="J3919" t="n">
        <v>0.0227348120370465</v>
      </c>
      <c r="K3919" t="n">
        <v>0.4748990082387546</v>
      </c>
      <c r="L3919" t="b">
        <v>0</v>
      </c>
      <c r="M3919" t="b">
        <v>0</v>
      </c>
      <c r="N3919" t="inlineStr">
        <is>
          <t>ref</t>
        </is>
      </c>
      <c r="O3919" t="n">
        <v>50</v>
      </c>
      <c r="P3919" t="n">
        <v>0.0056</v>
      </c>
      <c r="Q3919" t="n">
        <v>35</v>
      </c>
      <c r="R3919" t="n">
        <v>0.02377</v>
      </c>
      <c r="S3919">
        <f>IMAGE("https://mitra.stanford.edu/kundaje/oak/projects/neuro-variants/variant_position/credible/roussos_2024/variant_figures/roussos_2024.childhood.GLU/rs1498179_count_position.png",4,220,900)</f>
        <v/>
      </c>
      <c r="T3919">
        <f>IMAGE("https://mitra.stanford.edu/kundaje/oak/projects/neuro-variants/variant_position/credible/roussos_2024/variant_figures/roussos_2024.childhood.GLU/rs1498179_profile_position.png",4,220,900)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0.14483793</v>
      </c>
      <c r="G3920" t="n">
        <v>0.0197807954782178</v>
      </c>
      <c r="H3920" t="n">
        <v>0.0193966881980756</v>
      </c>
      <c r="I3920" t="n">
        <v>0.1137813104167455</v>
      </c>
      <c r="J3920" t="n">
        <v>0.0290469469541656</v>
      </c>
      <c r="K3920" t="n">
        <v>0.431577380060366</v>
      </c>
      <c r="L3920" t="b">
        <v>1</v>
      </c>
      <c r="M3920" t="b">
        <v>0</v>
      </c>
      <c r="N3920" t="inlineStr">
        <is>
          <t>alt</t>
        </is>
      </c>
      <c r="O3920" t="n">
        <v>75</v>
      </c>
      <c r="P3920" t="n">
        <v>0.004868</v>
      </c>
      <c r="Q3920" t="n">
        <v>-10</v>
      </c>
      <c r="R3920" t="n">
        <v>0.002441</v>
      </c>
      <c r="S3920">
        <f>IMAGE("https://mitra.stanford.edu/kundaje/oak/projects/neuro-variants/variant_position/credible/roussos_2024/variant_figures/roussos_2024.childhood.GLU/rs10108316_count_position.png",4,220,900)</f>
        <v/>
      </c>
      <c r="T3920">
        <f>IMAGE("https://mitra.stanford.edu/kundaje/oak/projects/neuro-variants/variant_position/credible/roussos_2024/variant_figures/roussos_2024.childhood.GLU/rs10108316_profile_position.png",4,220,900)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0.03872073874</v>
      </c>
      <c r="G3921" t="n">
        <v>0.2581502845621933</v>
      </c>
      <c r="H3921" t="n">
        <v>0.0105545506794967</v>
      </c>
      <c r="I3921" t="n">
        <v>0.5773315714420629</v>
      </c>
      <c r="J3921" t="n">
        <v>0.0074031339178092</v>
      </c>
      <c r="K3921" t="n">
        <v>0.6572357508444089</v>
      </c>
      <c r="L3921" t="b">
        <v>0</v>
      </c>
      <c r="M3921" t="b">
        <v>0</v>
      </c>
      <c r="N3921" t="inlineStr">
        <is>
          <t>alt</t>
        </is>
      </c>
      <c r="O3921" t="n">
        <v>-100</v>
      </c>
      <c r="P3921" t="n">
        <v>0.004112</v>
      </c>
      <c r="Q3921" t="n">
        <v>10</v>
      </c>
      <c r="R3921" t="n">
        <v>0.01068</v>
      </c>
      <c r="S3921">
        <f>IMAGE("https://mitra.stanford.edu/kundaje/oak/projects/neuro-variants/variant_position/credible/roussos_2024/variant_figures/roussos_2024.childhood.GLU/rs4737804_count_position.png",4,220,900)</f>
        <v/>
      </c>
      <c r="T3921">
        <f>IMAGE("https://mitra.stanford.edu/kundaje/oak/projects/neuro-variants/variant_position/credible/roussos_2024/variant_figures/roussos_2024.childhood.GLU/rs4737804_profile_position.png",4,220,900)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0.0328865474</v>
      </c>
      <c r="G3922" t="n">
        <v>0.289914134208643</v>
      </c>
      <c r="H3922" t="n">
        <v>0.0112441107595914</v>
      </c>
      <c r="I3922" t="n">
        <v>0.5039123206161826</v>
      </c>
      <c r="J3922" t="n">
        <v>0.0003162763864134</v>
      </c>
      <c r="K3922" t="n">
        <v>0.9022963809706182</v>
      </c>
      <c r="L3922" t="b">
        <v>0</v>
      </c>
      <c r="M3922" t="b">
        <v>0</v>
      </c>
      <c r="N3922" t="inlineStr">
        <is>
          <t>alt</t>
        </is>
      </c>
      <c r="O3922" t="n">
        <v>-100</v>
      </c>
      <c r="P3922" t="n">
        <v>0.003227</v>
      </c>
      <c r="Q3922" t="n">
        <v>80</v>
      </c>
      <c r="R3922" t="n">
        <v>0.175</v>
      </c>
      <c r="S3922">
        <f>IMAGE("https://mitra.stanford.edu/kundaje/oak/projects/neuro-variants/variant_position/credible/roussos_2024/variant_figures/roussos_2024.childhood.GLU/rs4737807_count_position.png",4,220,900)</f>
        <v/>
      </c>
      <c r="T3922">
        <f>IMAGE("https://mitra.stanford.edu/kundaje/oak/projects/neuro-variants/variant_position/credible/roussos_2024/variant_figures/roussos_2024.childhood.GLU/rs4737807_profile_position.png",4,220,900)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-0.0878864199999999</v>
      </c>
      <c r="G3923" t="n">
        <v>0.0609246436774692</v>
      </c>
      <c r="H3923" t="n">
        <v>0.0164867363968191</v>
      </c>
      <c r="I3923" t="n">
        <v>0.1908384991885753</v>
      </c>
      <c r="J3923" t="n">
        <v>0.0801590653878248</v>
      </c>
      <c r="K3923" t="n">
        <v>0.2791305681285776</v>
      </c>
      <c r="L3923" t="b">
        <v>0</v>
      </c>
      <c r="M3923" t="b">
        <v>0</v>
      </c>
      <c r="N3923" t="inlineStr">
        <is>
          <t>ref</t>
        </is>
      </c>
      <c r="O3923" t="n">
        <v>-55</v>
      </c>
      <c r="P3923" t="n">
        <v>0.00701</v>
      </c>
      <c r="Q3923" t="n">
        <v>-100</v>
      </c>
      <c r="R3923" t="n">
        <v>0.1312</v>
      </c>
      <c r="S3923">
        <f>IMAGE("https://mitra.stanford.edu/kundaje/oak/projects/neuro-variants/variant_position/credible/roussos_2024/variant_figures/roussos_2024.childhood.GLU/rs34401803_count_position.png",4,220,900)</f>
        <v/>
      </c>
      <c r="T3923">
        <f>IMAGE("https://mitra.stanford.edu/kundaje/oak/projects/neuro-variants/variant_position/credible/roussos_2024/variant_figures/roussos_2024.childhood.GLU/rs34401803_profile_position.png",4,220,900)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0.01167861454</v>
      </c>
      <c r="G3924" t="n">
        <v>0.602199044423175</v>
      </c>
      <c r="H3924" t="n">
        <v>0.010883976271652</v>
      </c>
      <c r="I3924" t="n">
        <v>0.5682240766513763</v>
      </c>
      <c r="J3924" t="n">
        <v>0.1167832528047636</v>
      </c>
      <c r="K3924" t="n">
        <v>0.2205852638264719</v>
      </c>
      <c r="L3924" t="b">
        <v>0</v>
      </c>
      <c r="M3924" t="b">
        <v>0</v>
      </c>
      <c r="N3924" t="inlineStr">
        <is>
          <t>alt</t>
        </is>
      </c>
      <c r="O3924" t="n">
        <v>-80</v>
      </c>
      <c r="P3924" t="n">
        <v>0.004467</v>
      </c>
      <c r="Q3924" t="n">
        <v>-100</v>
      </c>
      <c r="R3924" t="n">
        <v>0.1475</v>
      </c>
      <c r="S3924">
        <f>IMAGE("https://mitra.stanford.edu/kundaje/oak/projects/neuro-variants/variant_position/credible/roussos_2024/variant_figures/roussos_2024.childhood.GLU/rs17332014_count_position.png",4,220,900)</f>
        <v/>
      </c>
      <c r="T3924">
        <f>IMAGE("https://mitra.stanford.edu/kundaje/oak/projects/neuro-variants/variant_position/credible/roussos_2024/variant_figures/roussos_2024.childhood.GLU/rs17332014_profile_position.png",4,220,900)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0.0077938916</v>
      </c>
      <c r="G3925" t="n">
        <v>0.5290142509909104</v>
      </c>
      <c r="H3925" t="n">
        <v>0.0077700062706869</v>
      </c>
      <c r="I3925" t="n">
        <v>0.8535576031340464</v>
      </c>
      <c r="J3925" t="n">
        <v>0.0750450719606045</v>
      </c>
      <c r="K3925" t="n">
        <v>0.2880602634704782</v>
      </c>
      <c r="L3925" t="b">
        <v>0</v>
      </c>
      <c r="M3925" t="b">
        <v>0</v>
      </c>
      <c r="N3925" t="inlineStr">
        <is>
          <t>alt</t>
        </is>
      </c>
      <c r="O3925" t="n">
        <v>45</v>
      </c>
      <c r="P3925" t="n">
        <v>0.00553</v>
      </c>
      <c r="Q3925" t="n">
        <v>100</v>
      </c>
      <c r="R3925" t="n">
        <v>0.2578</v>
      </c>
      <c r="S3925">
        <f>IMAGE("https://mitra.stanford.edu/kundaje/oak/projects/neuro-variants/variant_position/credible/roussos_2024/variant_figures/roussos_2024.childhood.GLU/rs6983076_count_position.png",4,220,900)</f>
        <v/>
      </c>
      <c r="T3925">
        <f>IMAGE("https://mitra.stanford.edu/kundaje/oak/projects/neuro-variants/variant_position/credible/roussos_2024/variant_figures/roussos_2024.childhood.GLU/rs6983076_profile_position.png",4,220,900)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-0.0555066188</v>
      </c>
      <c r="G3926" t="n">
        <v>0.1649798740702924</v>
      </c>
      <c r="H3926" t="n">
        <v>0.0104461989608883</v>
      </c>
      <c r="I3926" t="n">
        <v>0.6115920738700856</v>
      </c>
      <c r="J3926" t="n">
        <v>0.2270679015525358</v>
      </c>
      <c r="K3926" t="n">
        <v>0.133795585610195</v>
      </c>
      <c r="L3926" t="b">
        <v>0</v>
      </c>
      <c r="M3926" t="b">
        <v>0</v>
      </c>
      <c r="N3926" t="inlineStr">
        <is>
          <t>ref</t>
        </is>
      </c>
      <c r="O3926" t="n">
        <v>85</v>
      </c>
      <c r="P3926" t="n">
        <v>0.013</v>
      </c>
      <c r="Q3926" t="n">
        <v>0</v>
      </c>
      <c r="R3926" t="n">
        <v>0</v>
      </c>
      <c r="S3926">
        <f>IMAGE("https://mitra.stanford.edu/kundaje/oak/projects/neuro-variants/variant_position/credible/roussos_2024/variant_figures/roussos_2024.childhood.GLU/rs7835908_count_position.png",4,220,900)</f>
        <v/>
      </c>
      <c r="T3926">
        <f>IMAGE("https://mitra.stanford.edu/kundaje/oak/projects/neuro-variants/variant_position/credible/roussos_2024/variant_figures/roussos_2024.childhood.GLU/rs7835908_profile_position.png",4,220,900)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0.0323904008</v>
      </c>
      <c r="G3927" t="n">
        <v>0.3127313788671504</v>
      </c>
      <c r="H3927" t="n">
        <v>0.0091533192698794</v>
      </c>
      <c r="I3927" t="n">
        <v>0.7550693461390161</v>
      </c>
      <c r="J3927" t="n">
        <v>0.0161527604644214</v>
      </c>
      <c r="K3927" t="n">
        <v>0.5333761027979252</v>
      </c>
      <c r="L3927" t="b">
        <v>0</v>
      </c>
      <c r="M3927" t="b">
        <v>0</v>
      </c>
      <c r="N3927" t="inlineStr">
        <is>
          <t>alt</t>
        </is>
      </c>
      <c r="O3927" t="n">
        <v>95</v>
      </c>
      <c r="P3927" t="n">
        <v>0.03723</v>
      </c>
      <c r="Q3927" t="n">
        <v>85</v>
      </c>
      <c r="R3927" t="n">
        <v>0.08210000000000001</v>
      </c>
      <c r="S3927">
        <f>IMAGE("https://mitra.stanford.edu/kundaje/oak/projects/neuro-variants/variant_position/credible/roussos_2024/variant_figures/roussos_2024.childhood.GLU/rs12680715_count_position.png",4,220,900)</f>
        <v/>
      </c>
      <c r="T3927">
        <f>IMAGE("https://mitra.stanford.edu/kundaje/oak/projects/neuro-variants/variant_position/credible/roussos_2024/variant_figures/roussos_2024.childhood.GLU/rs12680715_profile_position.png",4,220,900)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0.1241685549999999</v>
      </c>
      <c r="G3928" t="n">
        <v>0.0282255260596171</v>
      </c>
      <c r="H3928" t="n">
        <v>0.0207783934743587</v>
      </c>
      <c r="I3928" t="n">
        <v>0.0878677212460548</v>
      </c>
      <c r="J3928" t="n">
        <v>0.4031843984052252</v>
      </c>
      <c r="K3928" t="n">
        <v>0.06393222440662021</v>
      </c>
      <c r="L3928" t="b">
        <v>0</v>
      </c>
      <c r="M3928" t="b">
        <v>0</v>
      </c>
      <c r="N3928" t="inlineStr">
        <is>
          <t>alt</t>
        </is>
      </c>
      <c r="O3928" t="n">
        <v>20</v>
      </c>
      <c r="P3928" t="n">
        <v>0.006104</v>
      </c>
      <c r="Q3928" t="n">
        <v>20</v>
      </c>
      <c r="R3928" t="n">
        <v>0.09279999999999999</v>
      </c>
      <c r="S3928">
        <f>IMAGE("https://mitra.stanford.edu/kundaje/oak/projects/neuro-variants/variant_position/credible/roussos_2024/variant_figures/roussos_2024.childhood.GLU/rs907211_count_position.png",4,220,900)</f>
        <v/>
      </c>
      <c r="T3928">
        <f>IMAGE("https://mitra.stanford.edu/kundaje/oak/projects/neuro-variants/variant_position/credible/roussos_2024/variant_figures/roussos_2024.childhood.GLU/rs907211_profile_position.png",4,220,900)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0.0572509818</v>
      </c>
      <c r="G3929" t="n">
        <v>0.1393465147740878</v>
      </c>
      <c r="H3929" t="n">
        <v>0.0120147048954901</v>
      </c>
      <c r="I3929" t="n">
        <v>0.4522857815603055</v>
      </c>
      <c r="J3929" t="n">
        <v>0.0053396107843035</v>
      </c>
      <c r="K3929" t="n">
        <v>0.6765432513583463</v>
      </c>
      <c r="L3929" t="b">
        <v>0</v>
      </c>
      <c r="M3929" t="b">
        <v>0</v>
      </c>
      <c r="N3929" t="inlineStr">
        <is>
          <t>alt</t>
        </is>
      </c>
      <c r="O3929" t="n">
        <v>60</v>
      </c>
      <c r="P3929" t="n">
        <v>0.005173</v>
      </c>
      <c r="Q3929" t="n">
        <v>-5</v>
      </c>
      <c r="R3929" t="n">
        <v>0.0083</v>
      </c>
      <c r="S3929">
        <f>IMAGE("https://mitra.stanford.edu/kundaje/oak/projects/neuro-variants/variant_position/credible/roussos_2024/variant_figures/roussos_2024.childhood.GLU/rs1473594_count_position.png",4,220,900)</f>
        <v/>
      </c>
      <c r="T3929">
        <f>IMAGE("https://mitra.stanford.edu/kundaje/oak/projects/neuro-variants/variant_position/credible/roussos_2024/variant_figures/roussos_2024.childhood.GLU/rs1473594_profile_position.png",4,220,900)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-0.015788363</v>
      </c>
      <c r="G3930" t="n">
        <v>0.5299362173152221</v>
      </c>
      <c r="H3930" t="n">
        <v>0.0143286292922753</v>
      </c>
      <c r="I3930" t="n">
        <v>0.2846837894411692</v>
      </c>
      <c r="J3930" t="n">
        <v>0.0287399425139336</v>
      </c>
      <c r="K3930" t="n">
        <v>0.4384871997764031</v>
      </c>
      <c r="L3930" t="b">
        <v>0</v>
      </c>
      <c r="M3930" t="b">
        <v>0</v>
      </c>
      <c r="N3930" t="inlineStr">
        <is>
          <t>ref</t>
        </is>
      </c>
      <c r="O3930" t="n">
        <v>100</v>
      </c>
      <c r="P3930" t="n">
        <v>0.04007</v>
      </c>
      <c r="Q3930" t="n">
        <v>60</v>
      </c>
      <c r="R3930" t="n">
        <v>0.02606</v>
      </c>
      <c r="S3930">
        <f>IMAGE("https://mitra.stanford.edu/kundaje/oak/projects/neuro-variants/variant_position/credible/roussos_2024/variant_figures/roussos_2024.childhood.GLU/rs1034516_count_position.png",4,220,900)</f>
        <v/>
      </c>
      <c r="T3930">
        <f>IMAGE("https://mitra.stanford.edu/kundaje/oak/projects/neuro-variants/variant_position/credible/roussos_2024/variant_figures/roussos_2024.childhood.GLU/rs1034516_profile_position.png",4,220,900)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-0.042364773</v>
      </c>
      <c r="G3931" t="n">
        <v>0.2531036781600977</v>
      </c>
      <c r="H3931" t="n">
        <v>0.0190870695324456</v>
      </c>
      <c r="I3931" t="n">
        <v>0.1184907559481302</v>
      </c>
      <c r="J3931" t="n">
        <v>0.0028145507742074</v>
      </c>
      <c r="K3931" t="n">
        <v>0.7331797772749978</v>
      </c>
      <c r="L3931" t="b">
        <v>0</v>
      </c>
      <c r="M3931" t="b">
        <v>0</v>
      </c>
      <c r="N3931" t="inlineStr">
        <is>
          <t>ref</t>
        </is>
      </c>
      <c r="O3931" t="n">
        <v>-100</v>
      </c>
      <c r="P3931" t="n">
        <v>0.013374</v>
      </c>
      <c r="Q3931" t="n">
        <v>-90</v>
      </c>
      <c r="R3931" t="n">
        <v>0.0876</v>
      </c>
      <c r="S3931">
        <f>IMAGE("https://mitra.stanford.edu/kundaje/oak/projects/neuro-variants/variant_position/credible/roussos_2024/variant_figures/roussos_2024.childhood.GLU/rs1034517_count_position.png",4,220,900)</f>
        <v/>
      </c>
      <c r="T3931">
        <f>IMAGE("https://mitra.stanford.edu/kundaje/oak/projects/neuro-variants/variant_position/credible/roussos_2024/variant_figures/roussos_2024.childhood.GLU/rs1034517_profile_position.png",4,220,900)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0.1768407739999999</v>
      </c>
      <c r="G3932" t="n">
        <v>0.0110762202214254</v>
      </c>
      <c r="H3932" t="n">
        <v>0.0378714561062294</v>
      </c>
      <c r="I3932" t="n">
        <v>0.0089407295071877</v>
      </c>
      <c r="J3932" t="n">
        <v>0.0039694231819258</v>
      </c>
      <c r="K3932" t="n">
        <v>0.7056444975736692</v>
      </c>
      <c r="L3932" t="b">
        <v>1</v>
      </c>
      <c r="M3932" t="b">
        <v>0</v>
      </c>
      <c r="N3932" t="inlineStr">
        <is>
          <t>alt</t>
        </is>
      </c>
      <c r="O3932" t="n">
        <v>-30</v>
      </c>
      <c r="P3932" t="n">
        <v>0.00791</v>
      </c>
      <c r="Q3932" t="n">
        <v>-25</v>
      </c>
      <c r="R3932" t="n">
        <v>0.05835</v>
      </c>
      <c r="S3932">
        <f>IMAGE("https://mitra.stanford.edu/kundaje/oak/projects/neuro-variants/variant_position/credible/roussos_2024/variant_figures/roussos_2024.childhood.GLU/rs10504300_count_position.png",4,220,900)</f>
        <v/>
      </c>
      <c r="T3932">
        <f>IMAGE("https://mitra.stanford.edu/kundaje/oak/projects/neuro-variants/variant_position/credible/roussos_2024/variant_figures/roussos_2024.childhood.GLU/rs10504300_profile_position.png",4,220,900)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-0.05049589</v>
      </c>
      <c r="G3933" t="n">
        <v>0.1786575329976559</v>
      </c>
      <c r="H3933" t="n">
        <v>0.0102223467491611</v>
      </c>
      <c r="I3933" t="n">
        <v>0.6310437373741066</v>
      </c>
      <c r="J3933" t="n">
        <v>0.3355373092812181</v>
      </c>
      <c r="K3933" t="n">
        <v>0.084457432294358</v>
      </c>
      <c r="L3933" t="b">
        <v>0</v>
      </c>
      <c r="M3933" t="b">
        <v>0</v>
      </c>
      <c r="N3933" t="inlineStr">
        <is>
          <t>ref</t>
        </is>
      </c>
      <c r="O3933" t="n">
        <v>-80</v>
      </c>
      <c r="P3933" t="n">
        <v>0.00415</v>
      </c>
      <c r="Q3933" t="n">
        <v>35</v>
      </c>
      <c r="R3933" t="n">
        <v>0.0407</v>
      </c>
      <c r="S3933">
        <f>IMAGE("https://mitra.stanford.edu/kundaje/oak/projects/neuro-variants/variant_position/credible/roussos_2024/variant_figures/roussos_2024.childhood.GLU/rs7017555_count_position.png",4,220,900)</f>
        <v/>
      </c>
      <c r="T3933">
        <f>IMAGE("https://mitra.stanford.edu/kundaje/oak/projects/neuro-variants/variant_position/credible/roussos_2024/variant_figures/roussos_2024.childhood.GLU/rs7017555_profile_position.png",4,220,900)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-0.049871962</v>
      </c>
      <c r="G3934" t="n">
        <v>0.1828143858211434</v>
      </c>
      <c r="H3934" t="n">
        <v>0.0136556336357444</v>
      </c>
      <c r="I3934" t="n">
        <v>0.3277210279509779</v>
      </c>
      <c r="J3934" t="n">
        <v>0.0156015947747431</v>
      </c>
      <c r="K3934" t="n">
        <v>0.5239236402304307</v>
      </c>
      <c r="L3934" t="b">
        <v>0</v>
      </c>
      <c r="M3934" t="b">
        <v>0</v>
      </c>
      <c r="N3934" t="inlineStr">
        <is>
          <t>ref</t>
        </is>
      </c>
      <c r="O3934" t="n">
        <v>-100</v>
      </c>
      <c r="P3934" t="n">
        <v>0.00745</v>
      </c>
      <c r="Q3934" t="n">
        <v>-100</v>
      </c>
      <c r="R3934" t="n">
        <v>0.10547</v>
      </c>
      <c r="S3934">
        <f>IMAGE("https://mitra.stanford.edu/kundaje/oak/projects/neuro-variants/variant_position/credible/roussos_2024/variant_figures/roussos_2024.childhood.GLU/rs782022_count_position.png",4,220,900)</f>
        <v/>
      </c>
      <c r="T3934">
        <f>IMAGE("https://mitra.stanford.edu/kundaje/oak/projects/neuro-variants/variant_position/credible/roussos_2024/variant_figures/roussos_2024.childhood.GLU/rs782022_profile_position.png",4,220,900)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0.0188983514</v>
      </c>
      <c r="G3935" t="n">
        <v>0.4746537866385104</v>
      </c>
      <c r="H3935" t="n">
        <v>0.008013957390032999</v>
      </c>
      <c r="I3935" t="n">
        <v>0.8724845680434044</v>
      </c>
      <c r="J3935" t="n">
        <v>0.0120452883060154</v>
      </c>
      <c r="K3935" t="n">
        <v>0.5595074998290935</v>
      </c>
      <c r="L3935" t="b">
        <v>0</v>
      </c>
      <c r="M3935" t="b">
        <v>0</v>
      </c>
      <c r="N3935" t="inlineStr">
        <is>
          <t>alt</t>
        </is>
      </c>
      <c r="O3935" t="n">
        <v>-100</v>
      </c>
      <c r="P3935" t="n">
        <v>0.0444</v>
      </c>
      <c r="Q3935" t="n">
        <v>-100</v>
      </c>
      <c r="R3935" t="n">
        <v>0.2751</v>
      </c>
      <c r="S3935">
        <f>IMAGE("https://mitra.stanford.edu/kundaje/oak/projects/neuro-variants/variant_position/credible/roussos_2024/variant_figures/roussos_2024.childhood.GLU/rs522182_count_position.png",4,220,900)</f>
        <v/>
      </c>
      <c r="T3935">
        <f>IMAGE("https://mitra.stanford.edu/kundaje/oak/projects/neuro-variants/variant_position/credible/roussos_2024/variant_figures/roussos_2024.childhood.GLU/rs522182_profile_position.png",4,220,900)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0.047373041</v>
      </c>
      <c r="G3936" t="n">
        <v>0.1918367953130938</v>
      </c>
      <c r="H3936" t="n">
        <v>0.013851530219772</v>
      </c>
      <c r="I3936" t="n">
        <v>0.3168234469974941</v>
      </c>
      <c r="J3936" t="n">
        <v>0.8368353817466285</v>
      </c>
      <c r="K3936" t="n">
        <v>0.0051209029081378</v>
      </c>
      <c r="L3936" t="b">
        <v>0</v>
      </c>
      <c r="M3936" t="b">
        <v>0</v>
      </c>
      <c r="N3936" t="inlineStr">
        <is>
          <t>alt</t>
        </is>
      </c>
      <c r="O3936" t="n">
        <v>-30</v>
      </c>
      <c r="P3936" t="n">
        <v>0.001236</v>
      </c>
      <c r="Q3936" t="n">
        <v>-80</v>
      </c>
      <c r="R3936" t="n">
        <v>0.007812</v>
      </c>
      <c r="S3936">
        <f>IMAGE("https://mitra.stanford.edu/kundaje/oak/projects/neuro-variants/variant_position/credible/roussos_2024/variant_figures/roussos_2024.childhood.GLU/rs298210_count_position.png",4,220,900)</f>
        <v/>
      </c>
      <c r="T3936">
        <f>IMAGE("https://mitra.stanford.edu/kundaje/oak/projects/neuro-variants/variant_position/credible/roussos_2024/variant_figures/roussos_2024.childhood.GLU/rs298210_profile_position.png",4,220,900)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0.0843240322</v>
      </c>
      <c r="G3937" t="n">
        <v>0.072887917015755</v>
      </c>
      <c r="H3937" t="n">
        <v>0.0321305615016774</v>
      </c>
      <c r="I3937" t="n">
        <v>0.0162950094653666</v>
      </c>
      <c r="J3937" t="n">
        <v>0.2446083632954557</v>
      </c>
      <c r="K3937" t="n">
        <v>0.1219070999760274</v>
      </c>
      <c r="L3937" t="b">
        <v>1</v>
      </c>
      <c r="M3937" t="b">
        <v>0</v>
      </c>
      <c r="N3937" t="inlineStr">
        <is>
          <t>alt</t>
        </is>
      </c>
      <c r="O3937" t="n">
        <v>80</v>
      </c>
      <c r="P3937" t="n">
        <v>0.005493</v>
      </c>
      <c r="Q3937" t="n">
        <v>-5</v>
      </c>
      <c r="R3937" t="n">
        <v>0.0166</v>
      </c>
      <c r="S3937">
        <f>IMAGE("https://mitra.stanford.edu/kundaje/oak/projects/neuro-variants/variant_position/credible/roussos_2024/variant_figures/roussos_2024.childhood.GLU/rs298199_count_position.png",4,220,900)</f>
        <v/>
      </c>
      <c r="T3937">
        <f>IMAGE("https://mitra.stanford.edu/kundaje/oak/projects/neuro-variants/variant_position/credible/roussos_2024/variant_figures/roussos_2024.childhood.GLU/rs298199_profile_position.png",4,220,900)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0.0143675556</v>
      </c>
      <c r="G3938" t="n">
        <v>0.5479265526261652</v>
      </c>
      <c r="H3938" t="n">
        <v>0.0129860819994544</v>
      </c>
      <c r="I3938" t="n">
        <v>0.3681975438812888</v>
      </c>
      <c r="J3938" t="n">
        <v>0.1725169213017812</v>
      </c>
      <c r="K3938" t="n">
        <v>0.1677013190822409</v>
      </c>
      <c r="L3938" t="b">
        <v>0</v>
      </c>
      <c r="M3938" t="b">
        <v>0</v>
      </c>
      <c r="N3938" t="inlineStr">
        <is>
          <t>alt</t>
        </is>
      </c>
      <c r="O3938" t="n">
        <v>-100</v>
      </c>
      <c r="P3938" t="n">
        <v>0.01285</v>
      </c>
      <c r="Q3938" t="n">
        <v>-100</v>
      </c>
      <c r="R3938" t="n">
        <v>0.1631</v>
      </c>
      <c r="S3938">
        <f>IMAGE("https://mitra.stanford.edu/kundaje/oak/projects/neuro-variants/variant_position/credible/roussos_2024/variant_figures/roussos_2024.childhood.GLU/rs298200_count_position.png",4,220,900)</f>
        <v/>
      </c>
      <c r="T3938">
        <f>IMAGE("https://mitra.stanford.edu/kundaje/oak/projects/neuro-variants/variant_position/credible/roussos_2024/variant_figures/roussos_2024.childhood.GLU/rs298200_profile_position.png",4,220,900)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0.0125299745999999</v>
      </c>
      <c r="G3939" t="n">
        <v>0.4900587627836605</v>
      </c>
      <c r="H3939" t="n">
        <v>0.0195028677526252</v>
      </c>
      <c r="I3939" t="n">
        <v>0.1094163509887267</v>
      </c>
      <c r="J3939" t="n">
        <v>0.0063038931871799</v>
      </c>
      <c r="K3939" t="n">
        <v>0.6529103729309024</v>
      </c>
      <c r="L3939" t="b">
        <v>0</v>
      </c>
      <c r="M3939" t="b">
        <v>0</v>
      </c>
      <c r="N3939" t="inlineStr">
        <is>
          <t>alt</t>
        </is>
      </c>
      <c r="O3939" t="n">
        <v>70</v>
      </c>
      <c r="P3939" t="n">
        <v>0.01645</v>
      </c>
      <c r="Q3939" t="n">
        <v>100</v>
      </c>
      <c r="R3939" t="n">
        <v>0.07290000000000001</v>
      </c>
      <c r="S3939">
        <f>IMAGE("https://mitra.stanford.edu/kundaje/oak/projects/neuro-variants/variant_position/credible/roussos_2024/variant_figures/roussos_2024.childhood.GLU/rs298179_count_position.png",4,220,900)</f>
        <v/>
      </c>
      <c r="T3939">
        <f>IMAGE("https://mitra.stanford.edu/kundaje/oak/projects/neuro-variants/variant_position/credible/roussos_2024/variant_figures/roussos_2024.childhood.GLU/rs298179_profile_position.png",4,220,900)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-0.01534002034</v>
      </c>
      <c r="G3940" t="n">
        <v>0.5587820028052145</v>
      </c>
      <c r="H3940" t="n">
        <v>0.0195262138928829</v>
      </c>
      <c r="I3940" t="n">
        <v>0.1093055474321648</v>
      </c>
      <c r="J3940" t="n">
        <v>0.1309961160847661</v>
      </c>
      <c r="K3940" t="n">
        <v>0.2044765121100348</v>
      </c>
      <c r="L3940" t="b">
        <v>0</v>
      </c>
      <c r="M3940" t="b">
        <v>0</v>
      </c>
      <c r="N3940" t="inlineStr">
        <is>
          <t>ref</t>
        </is>
      </c>
      <c r="O3940" t="n">
        <v>-45</v>
      </c>
      <c r="P3940" t="n">
        <v>0.02203</v>
      </c>
      <c r="Q3940" t="n">
        <v>-40</v>
      </c>
      <c r="R3940" t="n">
        <v>0.03027</v>
      </c>
      <c r="S3940">
        <f>IMAGE("https://mitra.stanford.edu/kundaje/oak/projects/neuro-variants/variant_position/credible/roussos_2024/variant_figures/roussos_2024.childhood.GLU/rs2577907_count_position.png",4,220,900)</f>
        <v/>
      </c>
      <c r="T3940">
        <f>IMAGE("https://mitra.stanford.edu/kundaje/oak/projects/neuro-variants/variant_position/credible/roussos_2024/variant_figures/roussos_2024.childhood.GLU/rs2577907_profile_position.png",4,220,900)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0.091615375</v>
      </c>
      <c r="G3941" t="n">
        <v>0.0699975911732382</v>
      </c>
      <c r="H3941" t="n">
        <v>0.0244001856713211</v>
      </c>
      <c r="I3941" t="n">
        <v>0.0669385610805041</v>
      </c>
      <c r="J3941" t="n">
        <v>0.0196482841748482</v>
      </c>
      <c r="K3941" t="n">
        <v>0.4952413685956109</v>
      </c>
      <c r="L3941" t="b">
        <v>0</v>
      </c>
      <c r="M3941" t="b">
        <v>0</v>
      </c>
      <c r="N3941" t="inlineStr">
        <is>
          <t>alt</t>
        </is>
      </c>
      <c r="O3941" t="n">
        <v>100</v>
      </c>
      <c r="P3941" t="n">
        <v>0.003052</v>
      </c>
      <c r="Q3941" t="n">
        <v>-100</v>
      </c>
      <c r="R3941" t="n">
        <v>0.02289</v>
      </c>
      <c r="S3941">
        <f>IMAGE("https://mitra.stanford.edu/kundaje/oak/projects/neuro-variants/variant_position/credible/roussos_2024/variant_figures/roussos_2024.childhood.GLU/rs59666344_count_position.png",4,220,900)</f>
        <v/>
      </c>
      <c r="T3941">
        <f>IMAGE("https://mitra.stanford.edu/kundaje/oak/projects/neuro-variants/variant_position/credible/roussos_2024/variant_figures/roussos_2024.childhood.GLU/rs59666344_profile_position.png",4,220,900)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-0.09478997</v>
      </c>
      <c r="G3942" t="n">
        <v>0.0559121159009302</v>
      </c>
      <c r="H3942" t="n">
        <v>0.0142333291261364</v>
      </c>
      <c r="I3942" t="n">
        <v>0.299098749366573</v>
      </c>
      <c r="J3942" t="n">
        <v>0.0587851690069745</v>
      </c>
      <c r="K3942" t="n">
        <v>0.3288441012364512</v>
      </c>
      <c r="L3942" t="b">
        <v>0</v>
      </c>
      <c r="M3942" t="b">
        <v>0</v>
      </c>
      <c r="N3942" t="inlineStr">
        <is>
          <t>ref</t>
        </is>
      </c>
      <c r="O3942" t="n">
        <v>65</v>
      </c>
      <c r="P3942" t="n">
        <v>0.0045</v>
      </c>
      <c r="Q3942" t="n">
        <v>15</v>
      </c>
      <c r="R3942" t="n">
        <v>0.00983</v>
      </c>
      <c r="S3942">
        <f>IMAGE("https://mitra.stanford.edu/kundaje/oak/projects/neuro-variants/variant_position/credible/roussos_2024/variant_figures/roussos_2024.childhood.GLU/rs2612609_count_position.png",4,220,900)</f>
        <v/>
      </c>
      <c r="T3942">
        <f>IMAGE("https://mitra.stanford.edu/kundaje/oak/projects/neuro-variants/variant_position/credible/roussos_2024/variant_figures/roussos_2024.childhood.GLU/rs2612609_profile_position.png",4,220,900)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-0.00118932918</v>
      </c>
      <c r="G3943" t="n">
        <v>0.8483419086085831</v>
      </c>
      <c r="H3943" t="n">
        <v>0.0286550461030433</v>
      </c>
      <c r="I3943" t="n">
        <v>0.0255020707989725</v>
      </c>
      <c r="J3943" t="n">
        <v>0.3211359164288584</v>
      </c>
      <c r="K3943" t="n">
        <v>0.0890562271696678</v>
      </c>
      <c r="L3943" t="b">
        <v>0</v>
      </c>
      <c r="M3943" t="b">
        <v>0</v>
      </c>
      <c r="N3943" t="inlineStr">
        <is>
          <t>ref</t>
        </is>
      </c>
      <c r="O3943" t="n">
        <v>100</v>
      </c>
      <c r="P3943" t="n">
        <v>0.184</v>
      </c>
      <c r="Q3943" t="n">
        <v>100</v>
      </c>
      <c r="R3943" t="n">
        <v>0.4812</v>
      </c>
      <c r="S3943">
        <f>IMAGE("https://mitra.stanford.edu/kundaje/oak/projects/neuro-variants/variant_position/credible/roussos_2024/variant_figures/roussos_2024.childhood.GLU/rs2600467_count_position.png",4,220,900)</f>
        <v/>
      </c>
      <c r="T3943">
        <f>IMAGE("https://mitra.stanford.edu/kundaje/oak/projects/neuro-variants/variant_position/credible/roussos_2024/variant_figures/roussos_2024.childhood.GLU/rs2600467_profile_position.png",4,220,900)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0.06738566679999999</v>
      </c>
      <c r="G3944" t="n">
        <v>0.1122581695925074</v>
      </c>
      <c r="H3944" t="n">
        <v>0.0120109115421163</v>
      </c>
      <c r="I3944" t="n">
        <v>0.4556665558905807</v>
      </c>
      <c r="J3944" t="n">
        <v>0.0137441148897152</v>
      </c>
      <c r="K3944" t="n">
        <v>0.5454672397956369</v>
      </c>
      <c r="L3944" t="b">
        <v>0</v>
      </c>
      <c r="M3944" t="b">
        <v>0</v>
      </c>
      <c r="N3944" t="inlineStr">
        <is>
          <t>alt</t>
        </is>
      </c>
      <c r="O3944" t="n">
        <v>95</v>
      </c>
      <c r="P3944" t="n">
        <v>0.006794</v>
      </c>
      <c r="Q3944" t="n">
        <v>90</v>
      </c>
      <c r="R3944" t="n">
        <v>0.05533</v>
      </c>
      <c r="S3944">
        <f>IMAGE("https://mitra.stanford.edu/kundaje/oak/projects/neuro-variants/variant_position/credible/roussos_2024/variant_figures/roussos_2024.childhood.GLU/rs2577893_count_position.png",4,220,900)</f>
        <v/>
      </c>
      <c r="T3944">
        <f>IMAGE("https://mitra.stanford.edu/kundaje/oak/projects/neuro-variants/variant_position/credible/roussos_2024/variant_figures/roussos_2024.childhood.GLU/rs2577893_profile_position.png",4,220,900)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0.0241749071</v>
      </c>
      <c r="G3945" t="n">
        <v>0.4148369230954474</v>
      </c>
      <c r="H3945" t="n">
        <v>0.0100525376848507</v>
      </c>
      <c r="I3945" t="n">
        <v>0.6395600605205254</v>
      </c>
      <c r="J3945" t="n">
        <v>0.111904148680808</v>
      </c>
      <c r="K3945" t="n">
        <v>0.2266990847048508</v>
      </c>
      <c r="L3945" t="b">
        <v>0</v>
      </c>
      <c r="M3945" t="b">
        <v>0</v>
      </c>
      <c r="N3945" t="inlineStr">
        <is>
          <t>alt</t>
        </is>
      </c>
      <c r="O3945" t="n">
        <v>-70</v>
      </c>
      <c r="P3945" t="n">
        <v>0.0121</v>
      </c>
      <c r="Q3945" t="n">
        <v>100</v>
      </c>
      <c r="R3945" t="n">
        <v>0.503</v>
      </c>
      <c r="S3945">
        <f>IMAGE("https://mitra.stanford.edu/kundaje/oak/projects/neuro-variants/variant_position/credible/roussos_2024/variant_figures/roussos_2024.childhood.GLU/rs2612589_count_position.png",4,220,900)</f>
        <v/>
      </c>
      <c r="T3945">
        <f>IMAGE("https://mitra.stanford.edu/kundaje/oak/projects/neuro-variants/variant_position/credible/roussos_2024/variant_figures/roussos_2024.childhood.GLU/rs2612589_profile_position.png",4,220,900)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0.003180881108</v>
      </c>
      <c r="G3946" t="n">
        <v>0.7652554952258984</v>
      </c>
      <c r="H3946" t="n">
        <v>0.0168764600505822</v>
      </c>
      <c r="I3946" t="n">
        <v>0.1717076165743709</v>
      </c>
      <c r="J3946" t="n">
        <v>0.000198831734781</v>
      </c>
      <c r="K3946" t="n">
        <v>0.9118882965672142</v>
      </c>
      <c r="L3946" t="b">
        <v>0</v>
      </c>
      <c r="M3946" t="b">
        <v>0</v>
      </c>
      <c r="N3946" t="inlineStr">
        <is>
          <t>alt</t>
        </is>
      </c>
      <c r="O3946" t="n">
        <v>-100</v>
      </c>
      <c r="P3946" t="n">
        <v>0.03445</v>
      </c>
      <c r="Q3946" t="n">
        <v>-100</v>
      </c>
      <c r="R3946" t="n">
        <v>0.1006</v>
      </c>
      <c r="S3946">
        <f>IMAGE("https://mitra.stanford.edu/kundaje/oak/projects/neuro-variants/variant_position/credible/roussos_2024/variant_figures/roussos_2024.childhood.GLU/rs10504376_count_position.png",4,220,900)</f>
        <v/>
      </c>
      <c r="T3946">
        <f>IMAGE("https://mitra.stanford.edu/kundaje/oak/projects/neuro-variants/variant_position/credible/roussos_2024/variant_figures/roussos_2024.childhood.GLU/rs10504376_profile_position.png",4,220,900)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-0.159204392</v>
      </c>
      <c r="G3947" t="n">
        <v>0.0153524401245289</v>
      </c>
      <c r="H3947" t="n">
        <v>0.042580485961953</v>
      </c>
      <c r="I3947" t="n">
        <v>0.0053947433970962</v>
      </c>
      <c r="J3947" t="n">
        <v>0.1960583926566186</v>
      </c>
      <c r="K3947" t="n">
        <v>0.1499271535153275</v>
      </c>
      <c r="L3947" t="b">
        <v>1</v>
      </c>
      <c r="M3947" t="b">
        <v>1</v>
      </c>
      <c r="N3947" t="inlineStr">
        <is>
          <t>ref</t>
        </is>
      </c>
      <c r="O3947" t="n">
        <v>-100</v>
      </c>
      <c r="P3947" t="n">
        <v>0.01084</v>
      </c>
      <c r="Q3947" t="n">
        <v>45</v>
      </c>
      <c r="R3947" t="n">
        <v>0.147</v>
      </c>
      <c r="S3947">
        <f>IMAGE("https://mitra.stanford.edu/kundaje/oak/projects/neuro-variants/variant_position/credible/roussos_2024/variant_figures/roussos_2024.childhood.GLU/rs16931253_count_position.png",4,220,900)</f>
        <v/>
      </c>
      <c r="T3947">
        <f>IMAGE("https://mitra.stanford.edu/kundaje/oak/projects/neuro-variants/variant_position/credible/roussos_2024/variant_figures/roussos_2024.childhood.GLU/rs16931253_profile_position.png",4,220,900)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-0.0489139498</v>
      </c>
      <c r="G3948" t="n">
        <v>0.1937601431190732</v>
      </c>
      <c r="H3948" t="n">
        <v>0.0105714492445761</v>
      </c>
      <c r="I3948" t="n">
        <v>0.5735251637013675</v>
      </c>
      <c r="J3948" t="n">
        <v>0.021315174055034</v>
      </c>
      <c r="K3948" t="n">
        <v>0.4795771144427984</v>
      </c>
      <c r="L3948" t="b">
        <v>0</v>
      </c>
      <c r="M3948" t="b">
        <v>0</v>
      </c>
      <c r="N3948" t="inlineStr">
        <is>
          <t>ref</t>
        </is>
      </c>
      <c r="O3948" t="n">
        <v>-40</v>
      </c>
      <c r="P3948" t="n">
        <v>0.0001602</v>
      </c>
      <c r="Q3948" t="n">
        <v>90</v>
      </c>
      <c r="R3948" t="n">
        <v>0.075</v>
      </c>
      <c r="S3948">
        <f>IMAGE("https://mitra.stanford.edu/kundaje/oak/projects/neuro-variants/variant_position/credible/roussos_2024/variant_figures/roussos_2024.childhood.GLU/rs9643569_count_position.png",4,220,900)</f>
        <v/>
      </c>
      <c r="T3948">
        <f>IMAGE("https://mitra.stanford.edu/kundaje/oak/projects/neuro-variants/variant_position/credible/roussos_2024/variant_figures/roussos_2024.childhood.GLU/rs9643569_profile_position.png",4,220,900)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0.0115010017999999</v>
      </c>
      <c r="G3949" t="n">
        <v>0.6078415704256043</v>
      </c>
      <c r="H3949" t="n">
        <v>0.0297564892727967</v>
      </c>
      <c r="I3949" t="n">
        <v>0.0222310882572486</v>
      </c>
      <c r="J3949" t="n">
        <v>0.5613318635581608</v>
      </c>
      <c r="K3949" t="n">
        <v>0.032368894087422</v>
      </c>
      <c r="L3949" t="b">
        <v>0</v>
      </c>
      <c r="M3949" t="b">
        <v>0</v>
      </c>
      <c r="N3949" t="inlineStr">
        <is>
          <t>alt</t>
        </is>
      </c>
      <c r="O3949" t="n">
        <v>70</v>
      </c>
      <c r="P3949" t="n">
        <v>0.01697</v>
      </c>
      <c r="Q3949" t="n">
        <v>-100</v>
      </c>
      <c r="R3949" t="n">
        <v>0.132</v>
      </c>
      <c r="S3949">
        <f>IMAGE("https://mitra.stanford.edu/kundaje/oak/projects/neuro-variants/variant_position/credible/roussos_2024/variant_figures/roussos_2024.childhood.GLU/rs4737675_count_position.png",4,220,900)</f>
        <v/>
      </c>
      <c r="T3949">
        <f>IMAGE("https://mitra.stanford.edu/kundaje/oak/projects/neuro-variants/variant_position/credible/roussos_2024/variant_figures/roussos_2024.childhood.GLU/rs4737675_profile_position.png",4,220,900)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0.0709540728</v>
      </c>
      <c r="G3950" t="n">
        <v>0.0920896794300734</v>
      </c>
      <c r="H3950" t="n">
        <v>0.012668474803781</v>
      </c>
      <c r="I3950" t="n">
        <v>0.3938858368764458</v>
      </c>
      <c r="J3950" t="n">
        <v>0.621484129518786</v>
      </c>
      <c r="K3950" t="n">
        <v>0.0235532965480365</v>
      </c>
      <c r="L3950" t="b">
        <v>0</v>
      </c>
      <c r="M3950" t="b">
        <v>0</v>
      </c>
      <c r="N3950" t="inlineStr">
        <is>
          <t>alt</t>
        </is>
      </c>
      <c r="O3950" t="n">
        <v>-100</v>
      </c>
      <c r="P3950" t="n">
        <v>0.0003166</v>
      </c>
      <c r="Q3950" t="n">
        <v>-100</v>
      </c>
      <c r="R3950" t="n">
        <v>0.1499</v>
      </c>
      <c r="S3950">
        <f>IMAGE("https://mitra.stanford.edu/kundaje/oak/projects/neuro-variants/variant_position/credible/roussos_2024/variant_figures/roussos_2024.childhood.GLU/rs3779870_count_position.png",4,220,900)</f>
        <v/>
      </c>
      <c r="T3950">
        <f>IMAGE("https://mitra.stanford.edu/kundaje/oak/projects/neuro-variants/variant_position/credible/roussos_2024/variant_figures/roussos_2024.childhood.GLU/rs3779870_profile_position.png",4,220,900)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0.0010597411359999</v>
      </c>
      <c r="G3951" t="n">
        <v>0.795954881497104</v>
      </c>
      <c r="H3951" t="n">
        <v>0.0217716105520802</v>
      </c>
      <c r="I3951" t="n">
        <v>0.0736616612704611</v>
      </c>
      <c r="J3951" t="n">
        <v>0.0303707748256358</v>
      </c>
      <c r="K3951" t="n">
        <v>0.4392926809688401</v>
      </c>
      <c r="L3951" t="b">
        <v>0</v>
      </c>
      <c r="M3951" t="b">
        <v>0</v>
      </c>
      <c r="N3951" t="inlineStr">
        <is>
          <t>alt</t>
        </is>
      </c>
      <c r="O3951" t="n">
        <v>25</v>
      </c>
      <c r="P3951" t="n">
        <v>0.001915</v>
      </c>
      <c r="Q3951" t="n">
        <v>-100</v>
      </c>
      <c r="R3951" t="n">
        <v>0.08765000000000001</v>
      </c>
      <c r="S3951">
        <f>IMAGE("https://mitra.stanford.edu/kundaje/oak/projects/neuro-variants/variant_position/credible/roussos_2024/variant_figures/roussos_2024.childhood.GLU/rs4452822_count_position.png",4,220,900)</f>
        <v/>
      </c>
      <c r="T3951">
        <f>IMAGE("https://mitra.stanford.edu/kundaje/oak/projects/neuro-variants/variant_position/credible/roussos_2024/variant_figures/roussos_2024.childhood.GLU/rs4452822_profile_position.png",4,220,900)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-0.0707115594</v>
      </c>
      <c r="G3952" t="n">
        <v>0.09792754162692199</v>
      </c>
      <c r="H3952" t="n">
        <v>0.0149905011876848</v>
      </c>
      <c r="I3952" t="n">
        <v>0.2488850611191096</v>
      </c>
      <c r="J3952" t="n">
        <v>0.0242296558047533</v>
      </c>
      <c r="K3952" t="n">
        <v>0.4611192286158128</v>
      </c>
      <c r="L3952" t="b">
        <v>0</v>
      </c>
      <c r="M3952" t="b">
        <v>0</v>
      </c>
      <c r="N3952" t="inlineStr">
        <is>
          <t>ref</t>
        </is>
      </c>
      <c r="O3952" t="n">
        <v>100</v>
      </c>
      <c r="P3952" t="n">
        <v>0.01813</v>
      </c>
      <c r="Q3952" t="n">
        <v>100</v>
      </c>
      <c r="R3952" t="n">
        <v>0.2205</v>
      </c>
      <c r="S3952">
        <f>IMAGE("https://mitra.stanford.edu/kundaje/oak/projects/neuro-variants/variant_position/credible/roussos_2024/variant_figures/roussos_2024.childhood.GLU/rs11996031_count_position.png",4,220,900)</f>
        <v/>
      </c>
      <c r="T3952">
        <f>IMAGE("https://mitra.stanford.edu/kundaje/oak/projects/neuro-variants/variant_position/credible/roussos_2024/variant_figures/roussos_2024.childhood.GLU/rs11996031_profile_position.png",4,220,900)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0.0222562501999999</v>
      </c>
      <c r="G3953" t="n">
        <v>0.4107557842814008</v>
      </c>
      <c r="H3953" t="n">
        <v>0.0198778941425714</v>
      </c>
      <c r="I3953" t="n">
        <v>0.1043612272653697</v>
      </c>
      <c r="J3953" t="n">
        <v>0.0438583658709962</v>
      </c>
      <c r="K3953" t="n">
        <v>0.3715363834919261</v>
      </c>
      <c r="L3953" t="b">
        <v>0</v>
      </c>
      <c r="M3953" t="b">
        <v>0</v>
      </c>
      <c r="N3953" t="inlineStr">
        <is>
          <t>alt</t>
        </is>
      </c>
      <c r="O3953" t="n">
        <v>-50</v>
      </c>
      <c r="P3953" t="n">
        <v>0.00493</v>
      </c>
      <c r="Q3953" t="n">
        <v>-75</v>
      </c>
      <c r="R3953" t="n">
        <v>0.05444</v>
      </c>
      <c r="S3953">
        <f>IMAGE("https://mitra.stanford.edu/kundaje/oak/projects/neuro-variants/variant_position/credible/roussos_2024/variant_figures/roussos_2024.childhood.GLU/rs4236934_count_position.png",4,220,900)</f>
        <v/>
      </c>
      <c r="T3953">
        <f>IMAGE("https://mitra.stanford.edu/kundaje/oak/projects/neuro-variants/variant_position/credible/roussos_2024/variant_figures/roussos_2024.childhood.GLU/rs4236934_profile_position.png",4,220,900)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-0.0411157518</v>
      </c>
      <c r="G3954" t="n">
        <v>0.2001281204618216</v>
      </c>
      <c r="H3954" t="n">
        <v>0.0153397101774222</v>
      </c>
      <c r="I3954" t="n">
        <v>0.2362133128894035</v>
      </c>
      <c r="J3954" t="n">
        <v>0.1096520959749451</v>
      </c>
      <c r="K3954" t="n">
        <v>0.239200192093293</v>
      </c>
      <c r="L3954" t="b">
        <v>0</v>
      </c>
      <c r="M3954" t="b">
        <v>0</v>
      </c>
      <c r="N3954" t="inlineStr">
        <is>
          <t>ref</t>
        </is>
      </c>
      <c r="O3954" t="n">
        <v>20</v>
      </c>
      <c r="P3954" t="n">
        <v>0.002502</v>
      </c>
      <c r="Q3954" t="n">
        <v>-30</v>
      </c>
      <c r="R3954" t="n">
        <v>0.03467</v>
      </c>
      <c r="S3954">
        <f>IMAGE("https://mitra.stanford.edu/kundaje/oak/projects/neuro-variants/variant_position/credible/roussos_2024/variant_figures/roussos_2024.childhood.GLU/rs4486246_count_position.png",4,220,900)</f>
        <v/>
      </c>
      <c r="T3954">
        <f>IMAGE("https://mitra.stanford.edu/kundaje/oak/projects/neuro-variants/variant_position/credible/roussos_2024/variant_figures/roussos_2024.childhood.GLU/rs4486246_profile_position.png",4,220,900)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0.0021908597399999</v>
      </c>
      <c r="G3955" t="n">
        <v>0.4385799034378104</v>
      </c>
      <c r="H3955" t="n">
        <v>0.0142516904802156</v>
      </c>
      <c r="I3955" t="n">
        <v>0.2881269577614309</v>
      </c>
      <c r="J3955" t="n">
        <v>0.0035573366849701</v>
      </c>
      <c r="K3955" t="n">
        <v>0.71800633585887</v>
      </c>
      <c r="L3955" t="b">
        <v>0</v>
      </c>
      <c r="M3955" t="b">
        <v>0</v>
      </c>
      <c r="N3955" t="inlineStr">
        <is>
          <t>alt</t>
        </is>
      </c>
      <c r="O3955" t="n">
        <v>100</v>
      </c>
      <c r="P3955" t="n">
        <v>0.004616</v>
      </c>
      <c r="Q3955" t="n">
        <v>100</v>
      </c>
      <c r="R3955" t="n">
        <v>0.01825</v>
      </c>
      <c r="S3955">
        <f>IMAGE("https://mitra.stanford.edu/kundaje/oak/projects/neuro-variants/variant_position/credible/roussos_2024/variant_figures/roussos_2024.childhood.GLU/rs6999999_count_position.png",4,220,900)</f>
        <v/>
      </c>
      <c r="T3955">
        <f>IMAGE("https://mitra.stanford.edu/kundaje/oak/projects/neuro-variants/variant_position/credible/roussos_2024/variant_figures/roussos_2024.childhood.GLU/rs6999999_profile_position.png",4,220,900)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0.0086778151459999</v>
      </c>
      <c r="G3956" t="n">
        <v>0.676702892126535</v>
      </c>
      <c r="H3956" t="n">
        <v>0.0095886648168908</v>
      </c>
      <c r="I3956" t="n">
        <v>0.6767721713229512</v>
      </c>
      <c r="J3956" t="n">
        <v>0.0532240617305572</v>
      </c>
      <c r="K3956" t="n">
        <v>0.3563367238296647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0.02806</v>
      </c>
      <c r="Q3956" t="n">
        <v>95</v>
      </c>
      <c r="R3956" t="n">
        <v>0.2004</v>
      </c>
      <c r="S3956">
        <f>IMAGE("https://mitra.stanford.edu/kundaje/oak/projects/neuro-variants/variant_position/credible/roussos_2024/variant_figures/roussos_2024.childhood.GLU/rs7827287_count_position.png",4,220,900)</f>
        <v/>
      </c>
      <c r="T3956">
        <f>IMAGE("https://mitra.stanford.edu/kundaje/oak/projects/neuro-variants/variant_position/credible/roussos_2024/variant_figures/roussos_2024.childhood.GLU/rs7827287_profile_position.png",4,220,900)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0.0824134446</v>
      </c>
      <c r="G3957" t="n">
        <v>0.07066377898936391</v>
      </c>
      <c r="H3957" t="n">
        <v>0.0263561221116976</v>
      </c>
      <c r="I3957" t="n">
        <v>0.0383810074282936</v>
      </c>
      <c r="J3957" t="n">
        <v>0.0217602274717462</v>
      </c>
      <c r="K3957" t="n">
        <v>0.4836665007125404</v>
      </c>
      <c r="L3957" t="b">
        <v>0</v>
      </c>
      <c r="M3957" t="b">
        <v>0</v>
      </c>
      <c r="N3957" t="inlineStr">
        <is>
          <t>alt</t>
        </is>
      </c>
      <c r="O3957" t="n">
        <v>-65</v>
      </c>
      <c r="P3957" t="n">
        <v>0.01227</v>
      </c>
      <c r="Q3957" t="n">
        <v>-75</v>
      </c>
      <c r="R3957" t="n">
        <v>0.1714</v>
      </c>
      <c r="S3957">
        <f>IMAGE("https://mitra.stanford.edu/kundaje/oak/projects/neuro-variants/variant_position/credible/roussos_2024/variant_figures/roussos_2024.childhood.GLU/rs13252547_count_position.png",4,220,900)</f>
        <v/>
      </c>
      <c r="T3957">
        <f>IMAGE("https://mitra.stanford.edu/kundaje/oak/projects/neuro-variants/variant_position/credible/roussos_2024/variant_figures/roussos_2024.childhood.GLU/rs13252547_profile_position.png",4,220,900)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0.0391890766</v>
      </c>
      <c r="G3958" t="n">
        <v>0.2623939585896722</v>
      </c>
      <c r="H3958" t="n">
        <v>0.0139903899542441</v>
      </c>
      <c r="I3958" t="n">
        <v>0.3036323923634736</v>
      </c>
      <c r="J3958" t="n">
        <v>0.010466997022675</v>
      </c>
      <c r="K3958" t="n">
        <v>0.5825897778716363</v>
      </c>
      <c r="L3958" t="b">
        <v>0</v>
      </c>
      <c r="M3958" t="b">
        <v>0</v>
      </c>
      <c r="N3958" t="inlineStr">
        <is>
          <t>alt</t>
        </is>
      </c>
      <c r="O3958" t="n">
        <v>-50</v>
      </c>
      <c r="P3958" t="n">
        <v>0.001556</v>
      </c>
      <c r="Q3958" t="n">
        <v>45</v>
      </c>
      <c r="R3958" t="n">
        <v>0.1205</v>
      </c>
      <c r="S3958">
        <f>IMAGE("https://mitra.stanford.edu/kundaje/oak/projects/neuro-variants/variant_position/credible/roussos_2024/variant_figures/roussos_2024.childhood.GLU/rs4574807_count_position.png",4,220,900)</f>
        <v/>
      </c>
      <c r="T3958">
        <f>IMAGE("https://mitra.stanford.edu/kundaje/oak/projects/neuro-variants/variant_position/credible/roussos_2024/variant_figures/roussos_2024.childhood.GLU/rs4574807_profile_position.png",4,220,900)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0.0318669061</v>
      </c>
      <c r="G3959" t="n">
        <v>0.3166209234888215</v>
      </c>
      <c r="H3959" t="n">
        <v>0.013685105927238</v>
      </c>
      <c r="I3959" t="n">
        <v>0.324296248927324</v>
      </c>
      <c r="J3959" t="n">
        <v>0.0113251671525852</v>
      </c>
      <c r="K3959" t="n">
        <v>0.5738571091799168</v>
      </c>
      <c r="L3959" t="b">
        <v>0</v>
      </c>
      <c r="M3959" t="b">
        <v>0</v>
      </c>
      <c r="N3959" t="inlineStr">
        <is>
          <t>alt</t>
        </is>
      </c>
      <c r="O3959" t="n">
        <v>-100</v>
      </c>
      <c r="P3959" t="n">
        <v>0.002304</v>
      </c>
      <c r="Q3959" t="n">
        <v>15</v>
      </c>
      <c r="R3959" t="n">
        <v>0.05652</v>
      </c>
      <c r="S3959">
        <f>IMAGE("https://mitra.stanford.edu/kundaje/oak/projects/neuro-variants/variant_position/credible/roussos_2024/variant_figures/roussos_2024.childhood.GLU/rs4265143_count_position.png",4,220,900)</f>
        <v/>
      </c>
      <c r="T3959">
        <f>IMAGE("https://mitra.stanford.edu/kundaje/oak/projects/neuro-variants/variant_position/credible/roussos_2024/variant_figures/roussos_2024.childhood.GLU/rs4265143_profile_position.png",4,220,900)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-0.0604107789999999</v>
      </c>
      <c r="G3960" t="n">
        <v>0.1355461194247711</v>
      </c>
      <c r="H3960" t="n">
        <v>0.0185454315103125</v>
      </c>
      <c r="I3960" t="n">
        <v>0.1271112911052327</v>
      </c>
      <c r="J3960" t="n">
        <v>0.0274480513459774</v>
      </c>
      <c r="K3960" t="n">
        <v>0.4394692227110814</v>
      </c>
      <c r="L3960" t="b">
        <v>0</v>
      </c>
      <c r="M3960" t="b">
        <v>0</v>
      </c>
      <c r="N3960" t="inlineStr">
        <is>
          <t>ref</t>
        </is>
      </c>
      <c r="O3960" t="n">
        <v>100</v>
      </c>
      <c r="P3960" t="n">
        <v>0.02818</v>
      </c>
      <c r="Q3960" t="n">
        <v>40</v>
      </c>
      <c r="R3960" t="n">
        <v>0.0481</v>
      </c>
      <c r="S3960">
        <f>IMAGE("https://mitra.stanford.edu/kundaje/oak/projects/neuro-variants/variant_position/credible/roussos_2024/variant_figures/roussos_2024.childhood.GLU/rs11986552_count_position.png",4,220,900)</f>
        <v/>
      </c>
      <c r="T3960">
        <f>IMAGE("https://mitra.stanford.edu/kundaje/oak/projects/neuro-variants/variant_position/credible/roussos_2024/variant_figures/roussos_2024.childhood.GLU/rs11986552_profile_position.png",4,220,900)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-0.1274933728</v>
      </c>
      <c r="G3961" t="n">
        <v>0.0264177937001347</v>
      </c>
      <c r="H3961" t="n">
        <v>0.0210471217614949</v>
      </c>
      <c r="I3961" t="n">
        <v>0.0832693136599747</v>
      </c>
      <c r="J3961" t="n">
        <v>0.0276736687030607</v>
      </c>
      <c r="K3961" t="n">
        <v>0.4381385781072257</v>
      </c>
      <c r="L3961" t="b">
        <v>0</v>
      </c>
      <c r="M3961" t="b">
        <v>0</v>
      </c>
      <c r="N3961" t="inlineStr">
        <is>
          <t>ref</t>
        </is>
      </c>
      <c r="O3961" t="n">
        <v>-40</v>
      </c>
      <c r="P3961" t="n">
        <v>0.004158</v>
      </c>
      <c r="Q3961" t="n">
        <v>-60</v>
      </c>
      <c r="R3961" t="n">
        <v>0.04102</v>
      </c>
      <c r="S3961">
        <f>IMAGE("https://mitra.stanford.edu/kundaje/oak/projects/neuro-variants/variant_position/credible/roussos_2024/variant_figures/roussos_2024.childhood.GLU/rs4534094_count_position.png",4,220,900)</f>
        <v/>
      </c>
      <c r="T3961">
        <f>IMAGE("https://mitra.stanford.edu/kundaje/oak/projects/neuro-variants/variant_position/credible/roussos_2024/variant_figures/roussos_2024.childhood.GLU/rs4534094_profile_position.png",4,220,900)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-0.052249886412</v>
      </c>
      <c r="G3962" t="n">
        <v>0.1639160508334812</v>
      </c>
      <c r="H3962" t="n">
        <v>0.0133630065187241</v>
      </c>
      <c r="I3962" t="n">
        <v>0.3307054279311754</v>
      </c>
      <c r="J3962" t="n">
        <v>0.0264106235898914</v>
      </c>
      <c r="K3962" t="n">
        <v>0.448034271882463</v>
      </c>
      <c r="L3962" t="b">
        <v>0</v>
      </c>
      <c r="M3962" t="b">
        <v>0</v>
      </c>
      <c r="N3962" t="inlineStr">
        <is>
          <t>ref</t>
        </is>
      </c>
      <c r="O3962" t="n">
        <v>-100</v>
      </c>
      <c r="P3962" t="n">
        <v>0.0941</v>
      </c>
      <c r="Q3962" t="n">
        <v>100</v>
      </c>
      <c r="R3962" t="n">
        <v>0.2029</v>
      </c>
      <c r="S3962">
        <f>IMAGE("https://mitra.stanford.edu/kundaje/oak/projects/neuro-variants/variant_position/credible/roussos_2024/variant_figures/roussos_2024.childhood.GLU/rs4739612_count_position.png",4,220,900)</f>
        <v/>
      </c>
      <c r="T3962">
        <f>IMAGE("https://mitra.stanford.edu/kundaje/oak/projects/neuro-variants/variant_position/credible/roussos_2024/variant_figures/roussos_2024.childhood.GLU/rs4739612_profile_position.png",4,220,900)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0.00410873736</v>
      </c>
      <c r="G3963" t="n">
        <v>0.818098167654656</v>
      </c>
      <c r="H3963" t="n">
        <v>0.0211255321329957</v>
      </c>
      <c r="I3963" t="n">
        <v>0.0801722169291104</v>
      </c>
      <c r="J3963" t="n">
        <v>0.0189837946985071</v>
      </c>
      <c r="K3963" t="n">
        <v>0.5027447051864636</v>
      </c>
      <c r="L3963" t="b">
        <v>0</v>
      </c>
      <c r="M3963" t="b">
        <v>0</v>
      </c>
      <c r="N3963" t="inlineStr">
        <is>
          <t>alt</t>
        </is>
      </c>
      <c r="O3963" t="n">
        <v>5</v>
      </c>
      <c r="P3963" t="n">
        <v>0.0007935</v>
      </c>
      <c r="Q3963" t="n">
        <v>-100</v>
      </c>
      <c r="R3963" t="n">
        <v>0.06759999999999999</v>
      </c>
      <c r="S3963">
        <f>IMAGE("https://mitra.stanford.edu/kundaje/oak/projects/neuro-variants/variant_position/credible/roussos_2024/variant_figures/roussos_2024.childhood.GLU/rs58255283_count_position.png",4,220,900)</f>
        <v/>
      </c>
      <c r="T3963">
        <f>IMAGE("https://mitra.stanford.edu/kundaje/oak/projects/neuro-variants/variant_position/credible/roussos_2024/variant_figures/roussos_2024.childhood.GLU/rs58255283_profile_position.png",4,220,900)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-0.109153216</v>
      </c>
      <c r="G3964" t="n">
        <v>0.0418968162780181</v>
      </c>
      <c r="H3964" t="n">
        <v>0.021252037096089</v>
      </c>
      <c r="I3964" t="n">
        <v>0.0826617575577832</v>
      </c>
      <c r="J3964" t="n">
        <v>0.0446897503786044</v>
      </c>
      <c r="K3964" t="n">
        <v>0.373845852775753</v>
      </c>
      <c r="L3964" t="b">
        <v>0</v>
      </c>
      <c r="M3964" t="b">
        <v>0</v>
      </c>
      <c r="N3964" t="inlineStr">
        <is>
          <t>ref</t>
        </is>
      </c>
      <c r="O3964" t="n">
        <v>95</v>
      </c>
      <c r="P3964" t="n">
        <v>0.003944</v>
      </c>
      <c r="Q3964" t="n">
        <v>95</v>
      </c>
      <c r="R3964" t="n">
        <v>0.07434</v>
      </c>
      <c r="S3964">
        <f>IMAGE("https://mitra.stanford.edu/kundaje/oak/projects/neuro-variants/variant_position/credible/roussos_2024/variant_figures/roussos_2024.childhood.GLU/rs13262875_count_position.png",4,220,900)</f>
        <v/>
      </c>
      <c r="T3964">
        <f>IMAGE("https://mitra.stanford.edu/kundaje/oak/projects/neuro-variants/variant_position/credible/roussos_2024/variant_figures/roussos_2024.childhood.GLU/rs13262875_profile_position.png",4,220,900)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0.07292866219999999</v>
      </c>
      <c r="G3965" t="n">
        <v>0.09058679323872661</v>
      </c>
      <c r="H3965" t="n">
        <v>0.0114835225757142</v>
      </c>
      <c r="I3965" t="n">
        <v>0.5000697265310358</v>
      </c>
      <c r="J3965" t="n">
        <v>0.0215541842232684</v>
      </c>
      <c r="K3965" t="n">
        <v>0.4786074313429993</v>
      </c>
      <c r="L3965" t="b">
        <v>0</v>
      </c>
      <c r="M3965" t="b">
        <v>0</v>
      </c>
      <c r="N3965" t="inlineStr">
        <is>
          <t>alt</t>
        </is>
      </c>
      <c r="O3965" t="n">
        <v>100</v>
      </c>
      <c r="P3965" t="n">
        <v>0.01501</v>
      </c>
      <c r="Q3965" t="n">
        <v>95</v>
      </c>
      <c r="R3965" t="n">
        <v>0.08154</v>
      </c>
      <c r="S3965">
        <f>IMAGE("https://mitra.stanford.edu/kundaje/oak/projects/neuro-variants/variant_position/credible/roussos_2024/variant_figures/roussos_2024.childhood.GLU/rs73291155_count_position.png",4,220,900)</f>
        <v/>
      </c>
      <c r="T3965">
        <f>IMAGE("https://mitra.stanford.edu/kundaje/oak/projects/neuro-variants/variant_position/credible/roussos_2024/variant_figures/roussos_2024.childhood.GLU/rs73291155_profile_position.png",4,220,900)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-0.00320650554</v>
      </c>
      <c r="G3966" t="n">
        <v>0.7397424239953839</v>
      </c>
      <c r="H3966" t="n">
        <v>0.029495856369497</v>
      </c>
      <c r="I3966" t="n">
        <v>0.0228968656828765</v>
      </c>
      <c r="J3966" t="n">
        <v>1.236259490867133e-05</v>
      </c>
      <c r="K3966" t="n">
        <v>0.992125220994508</v>
      </c>
      <c r="L3966" t="b">
        <v>0</v>
      </c>
      <c r="M3966" t="b">
        <v>0</v>
      </c>
      <c r="N3966" t="inlineStr">
        <is>
          <t>ref</t>
        </is>
      </c>
      <c r="O3966" t="n">
        <v>25</v>
      </c>
      <c r="P3966" t="n">
        <v>0.003742</v>
      </c>
      <c r="Q3966" t="n">
        <v>100</v>
      </c>
      <c r="R3966" t="n">
        <v>0.06354</v>
      </c>
      <c r="S3966">
        <f>IMAGE("https://mitra.stanford.edu/kundaje/oak/projects/neuro-variants/variant_position/credible/roussos_2024/variant_figures/roussos_2024.childhood.GLU/rs6469448_count_position.png",4,220,900)</f>
        <v/>
      </c>
      <c r="T3966">
        <f>IMAGE("https://mitra.stanford.edu/kundaje/oak/projects/neuro-variants/variant_position/credible/roussos_2024/variant_figures/roussos_2024.childhood.GLU/rs6469448_profile_position.png",4,220,900)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0.0079625815</v>
      </c>
      <c r="G3967" t="n">
        <v>0.6663564790926625</v>
      </c>
      <c r="H3967" t="n">
        <v>0.0236149981072068</v>
      </c>
      <c r="I3967" t="n">
        <v>0.0538418941737469</v>
      </c>
      <c r="J3967" t="n">
        <v>0.0009333759156046</v>
      </c>
      <c r="K3967" t="n">
        <v>0.8385025133641918</v>
      </c>
      <c r="L3967" t="b">
        <v>0</v>
      </c>
      <c r="M3967" t="b">
        <v>0</v>
      </c>
      <c r="N3967" t="inlineStr">
        <is>
          <t>alt</t>
        </is>
      </c>
      <c r="O3967" t="n">
        <v>-30</v>
      </c>
      <c r="P3967" t="n">
        <v>0.0116</v>
      </c>
      <c r="Q3967" t="n">
        <v>20</v>
      </c>
      <c r="R3967" t="n">
        <v>0.03137</v>
      </c>
      <c r="S3967">
        <f>IMAGE("https://mitra.stanford.edu/kundaje/oak/projects/neuro-variants/variant_position/credible/roussos_2024/variant_figures/roussos_2024.childhood.GLU/rs16884208_count_position.png",4,220,900)</f>
        <v/>
      </c>
      <c r="T3967">
        <f>IMAGE("https://mitra.stanford.edu/kundaje/oak/projects/neuro-variants/variant_position/credible/roussos_2024/variant_figures/roussos_2024.childhood.GLU/rs16884208_profile_position.png",4,220,900)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0.1436583099999999</v>
      </c>
      <c r="G3968" t="n">
        <v>0.0195502959172737</v>
      </c>
      <c r="H3968" t="n">
        <v>0.0239446076849844</v>
      </c>
      <c r="I3968" t="n">
        <v>0.0565332936288728</v>
      </c>
      <c r="J3968" t="n">
        <v>0.0053457920817579</v>
      </c>
      <c r="K3968" t="n">
        <v>0.6651237608576319</v>
      </c>
      <c r="L3968" t="b">
        <v>1</v>
      </c>
      <c r="M3968" t="b">
        <v>0</v>
      </c>
      <c r="N3968" t="inlineStr">
        <is>
          <t>alt</t>
        </is>
      </c>
      <c r="O3968" t="n">
        <v>55</v>
      </c>
      <c r="P3968" t="n">
        <v>0.01288</v>
      </c>
      <c r="Q3968" t="n">
        <v>5</v>
      </c>
      <c r="R3968" t="n">
        <v>0.0199</v>
      </c>
      <c r="S3968">
        <f>IMAGE("https://mitra.stanford.edu/kundaje/oak/projects/neuro-variants/variant_position/credible/roussos_2024/variant_figures/roussos_2024.childhood.GLU/rs7007660_count_position.png",4,220,900)</f>
        <v/>
      </c>
      <c r="T3968">
        <f>IMAGE("https://mitra.stanford.edu/kundaje/oak/projects/neuro-variants/variant_position/credible/roussos_2024/variant_figures/roussos_2024.childhood.GLU/rs7007660_profile_position.png",4,220,900)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0.2347291159999999</v>
      </c>
      <c r="G3969" t="n">
        <v>0.0048679802135451</v>
      </c>
      <c r="H3969" t="n">
        <v>0.0288117737448042</v>
      </c>
      <c r="I3969" t="n">
        <v>0.0282005114427289</v>
      </c>
      <c r="J3969" t="n">
        <v>0.0267279301925473</v>
      </c>
      <c r="K3969" t="n">
        <v>0.4496575054332219</v>
      </c>
      <c r="L3969" t="b">
        <v>1</v>
      </c>
      <c r="M3969" t="b">
        <v>1</v>
      </c>
      <c r="N3969" t="inlineStr">
        <is>
          <t>alt</t>
        </is>
      </c>
      <c r="O3969" t="n">
        <v>65</v>
      </c>
      <c r="P3969" t="n">
        <v>0.0105</v>
      </c>
      <c r="Q3969" t="n">
        <v>20</v>
      </c>
      <c r="R3969" t="n">
        <v>0.0659</v>
      </c>
      <c r="S3969">
        <f>IMAGE("https://mitra.stanford.edu/kundaje/oak/projects/neuro-variants/variant_position/credible/roussos_2024/variant_figures/roussos_2024.childhood.GLU/rs16884246_count_position.png",4,220,900)</f>
        <v/>
      </c>
      <c r="T3969">
        <f>IMAGE("https://mitra.stanford.edu/kundaje/oak/projects/neuro-variants/variant_position/credible/roussos_2024/variant_figures/roussos_2024.childhood.GLU/rs16884246_profile_position.png",4,220,900)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0.2719242739999999</v>
      </c>
      <c r="G3970" t="n">
        <v>0.0030758189645663</v>
      </c>
      <c r="H3970" t="n">
        <v>0.0352836310277032</v>
      </c>
      <c r="I3970" t="n">
        <v>0.0119283491040518</v>
      </c>
      <c r="J3970" t="n">
        <v>0.0491691306005129</v>
      </c>
      <c r="K3970" t="n">
        <v>0.358694701516477</v>
      </c>
      <c r="L3970" t="b">
        <v>1</v>
      </c>
      <c r="M3970" t="b">
        <v>1</v>
      </c>
      <c r="N3970" t="inlineStr">
        <is>
          <t>alt</t>
        </is>
      </c>
      <c r="O3970" t="n">
        <v>-70</v>
      </c>
      <c r="P3970" t="n">
        <v>0.02452</v>
      </c>
      <c r="Q3970" t="n">
        <v>20</v>
      </c>
      <c r="R3970" t="n">
        <v>0.03955</v>
      </c>
      <c r="S3970">
        <f>IMAGE("https://mitra.stanford.edu/kundaje/oak/projects/neuro-variants/variant_position/credible/roussos_2024/variant_figures/roussos_2024.childhood.GLU/rs34846572_count_position.png",4,220,900)</f>
        <v/>
      </c>
      <c r="T3970">
        <f>IMAGE("https://mitra.stanford.edu/kundaje/oak/projects/neuro-variants/variant_position/credible/roussos_2024/variant_figures/roussos_2024.childhood.GLU/rs34846572_profile_position.png",4,220,900)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-0.031117739</v>
      </c>
      <c r="G3971" t="n">
        <v>0.3224211523272704</v>
      </c>
      <c r="H3971" t="n">
        <v>0.0167683800527483</v>
      </c>
      <c r="I3971" t="n">
        <v>0.184423760194008</v>
      </c>
      <c r="J3971" t="n">
        <v>0.0197028856356948</v>
      </c>
      <c r="K3971" t="n">
        <v>0.4917690281111235</v>
      </c>
      <c r="L3971" t="b">
        <v>0</v>
      </c>
      <c r="M3971" t="b">
        <v>0</v>
      </c>
      <c r="N3971" t="inlineStr">
        <is>
          <t>ref</t>
        </is>
      </c>
      <c r="O3971" t="n">
        <v>-100</v>
      </c>
      <c r="P3971" t="n">
        <v>0.002295</v>
      </c>
      <c r="Q3971" t="n">
        <v>10</v>
      </c>
      <c r="R3971" t="n">
        <v>0.0166</v>
      </c>
      <c r="S3971">
        <f>IMAGE("https://mitra.stanford.edu/kundaje/oak/projects/neuro-variants/variant_position/credible/roussos_2024/variant_figures/roussos_2024.childhood.GLU/rs10504857_count_position.png",4,220,900)</f>
        <v/>
      </c>
      <c r="T3971">
        <f>IMAGE("https://mitra.stanford.edu/kundaje/oak/projects/neuro-variants/variant_position/credible/roussos_2024/variant_figures/roussos_2024.childhood.GLU/rs10504857_profile_position.png",4,220,900)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0.102127816</v>
      </c>
      <c r="G3972" t="n">
        <v>0.0436464774820765</v>
      </c>
      <c r="H3972" t="n">
        <v>0.0339822838757098</v>
      </c>
      <c r="I3972" t="n">
        <v>0.0130843809021878</v>
      </c>
      <c r="J3972" t="n">
        <v>0.2112396592044669</v>
      </c>
      <c r="K3972" t="n">
        <v>0.1409675493160073</v>
      </c>
      <c r="L3972" t="b">
        <v>1</v>
      </c>
      <c r="M3972" t="b">
        <v>0</v>
      </c>
      <c r="N3972" t="inlineStr">
        <is>
          <t>alt</t>
        </is>
      </c>
      <c r="O3972" t="n">
        <v>-70</v>
      </c>
      <c r="P3972" t="n">
        <v>0.04333</v>
      </c>
      <c r="Q3972" t="n">
        <v>-70</v>
      </c>
      <c r="R3972" t="n">
        <v>0.2534</v>
      </c>
      <c r="S3972">
        <f>IMAGE("https://mitra.stanford.edu/kundaje/oak/projects/neuro-variants/variant_position/credible/roussos_2024/variant_figures/roussos_2024.childhood.GLU/rs7838490_count_position.png",4,220,900)</f>
        <v/>
      </c>
      <c r="T3972">
        <f>IMAGE("https://mitra.stanford.edu/kundaje/oak/projects/neuro-variants/variant_position/credible/roussos_2024/variant_figures/roussos_2024.childhood.GLU/rs7838490_profile_position.png",4,220,900)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-0.0007545569399999001</v>
      </c>
      <c r="G3973" t="n">
        <v>0.914409225008894</v>
      </c>
      <c r="H3973" t="n">
        <v>0.0167055481249632</v>
      </c>
      <c r="I3973" t="n">
        <v>0.176329398012496</v>
      </c>
      <c r="J3973" t="n">
        <v>0.0045762205486931</v>
      </c>
      <c r="K3973" t="n">
        <v>0.6834724286323812</v>
      </c>
      <c r="L3973" t="b">
        <v>0</v>
      </c>
      <c r="M3973" t="b">
        <v>0</v>
      </c>
      <c r="N3973" t="inlineStr">
        <is>
          <t>ref</t>
        </is>
      </c>
      <c r="O3973" t="n">
        <v>95</v>
      </c>
      <c r="P3973" t="n">
        <v>0.007248</v>
      </c>
      <c r="Q3973" t="n">
        <v>90</v>
      </c>
      <c r="R3973" t="n">
        <v>0.1423</v>
      </c>
      <c r="S3973">
        <f>IMAGE("https://mitra.stanford.edu/kundaje/oak/projects/neuro-variants/variant_position/credible/roussos_2024/variant_figures/roussos_2024.childhood.GLU/rs71526952_count_position.png",4,220,900)</f>
        <v/>
      </c>
      <c r="T3973">
        <f>IMAGE("https://mitra.stanford.edu/kundaje/oak/projects/neuro-variants/variant_position/credible/roussos_2024/variant_figures/roussos_2024.childhood.GLU/rs71526952_profile_position.png",4,220,900)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-0.0463292395999999</v>
      </c>
      <c r="G3974" t="n">
        <v>0.2149577217960498</v>
      </c>
      <c r="H3974" t="n">
        <v>0.0110201498111235</v>
      </c>
      <c r="I3974" t="n">
        <v>0.5482130688552784</v>
      </c>
      <c r="J3974" t="n">
        <v>0.1482233920899996</v>
      </c>
      <c r="K3974" t="n">
        <v>0.19730449045292</v>
      </c>
      <c r="L3974" t="b">
        <v>0</v>
      </c>
      <c r="M3974" t="b">
        <v>0</v>
      </c>
      <c r="N3974" t="inlineStr">
        <is>
          <t>ref</t>
        </is>
      </c>
      <c r="O3974" t="n">
        <v>20</v>
      </c>
      <c r="P3974" t="n">
        <v>0.002563</v>
      </c>
      <c r="Q3974" t="n">
        <v>100</v>
      </c>
      <c r="R3974" t="n">
        <v>0.3425</v>
      </c>
      <c r="S3974">
        <f>IMAGE("https://mitra.stanford.edu/kundaje/oak/projects/neuro-variants/variant_position/credible/roussos_2024/variant_figures/roussos_2024.childhood.GLU/rs3191333_count_position.png",4,220,900)</f>
        <v/>
      </c>
      <c r="T3974">
        <f>IMAGE("https://mitra.stanford.edu/kundaje/oak/projects/neuro-variants/variant_position/credible/roussos_2024/variant_figures/roussos_2024.childhood.GLU/rs3191333_profile_position.png",4,220,900)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0.07367487659999999</v>
      </c>
      <c r="G3975" t="n">
        <v>0.1033317749712715</v>
      </c>
      <c r="H3975" t="n">
        <v>0.0181689702262011</v>
      </c>
      <c r="I3975" t="n">
        <v>0.1411691743813236</v>
      </c>
      <c r="J3975" t="n">
        <v>0.6976428652374134</v>
      </c>
      <c r="K3975" t="n">
        <v>0.0152433405586039</v>
      </c>
      <c r="L3975" t="b">
        <v>0</v>
      </c>
      <c r="M3975" t="b">
        <v>0</v>
      </c>
      <c r="N3975" t="inlineStr">
        <is>
          <t>alt</t>
        </is>
      </c>
      <c r="O3975" t="n">
        <v>95</v>
      </c>
      <c r="P3975" t="n">
        <v>0.004288</v>
      </c>
      <c r="Q3975" t="n">
        <v>0</v>
      </c>
      <c r="R3975" t="n">
        <v>0</v>
      </c>
      <c r="S3975">
        <f>IMAGE("https://mitra.stanford.edu/kundaje/oak/projects/neuro-variants/variant_position/credible/roussos_2024/variant_figures/roussos_2024.childhood.GLU/rs4734654_count_position.png",4,220,900)</f>
        <v/>
      </c>
      <c r="T3975">
        <f>IMAGE("https://mitra.stanford.edu/kundaje/oak/projects/neuro-variants/variant_position/credible/roussos_2024/variant_figures/roussos_2024.childhood.GLU/rs4734654_profile_position.png",4,220,900)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-0.0878379658</v>
      </c>
      <c r="G3976" t="n">
        <v>0.059353183422464</v>
      </c>
      <c r="H3976" t="n">
        <v>0.0103589293775903</v>
      </c>
      <c r="I3976" t="n">
        <v>0.6055116829434631</v>
      </c>
      <c r="J3976" t="n">
        <v>0.2158045473744939</v>
      </c>
      <c r="K3976" t="n">
        <v>0.1384181044031083</v>
      </c>
      <c r="L3976" t="b">
        <v>0</v>
      </c>
      <c r="M3976" t="b">
        <v>0</v>
      </c>
      <c r="N3976" t="inlineStr">
        <is>
          <t>ref</t>
        </is>
      </c>
      <c r="O3976" t="n">
        <v>-40</v>
      </c>
      <c r="P3976" t="n">
        <v>0.001053</v>
      </c>
      <c r="Q3976" t="n">
        <v>-35</v>
      </c>
      <c r="R3976" t="n">
        <v>0.0468</v>
      </c>
      <c r="S3976">
        <f>IMAGE("https://mitra.stanford.edu/kundaje/oak/projects/neuro-variants/variant_position/credible/roussos_2024/variant_figures/roussos_2024.childhood.GLU/rs1434281_count_position.png",4,220,900)</f>
        <v/>
      </c>
      <c r="T3976">
        <f>IMAGE("https://mitra.stanford.edu/kundaje/oak/projects/neuro-variants/variant_position/credible/roussos_2024/variant_figures/roussos_2024.childhood.GLU/rs1434281_profile_position.png",4,220,900)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-0.016887962692</v>
      </c>
      <c r="G3977" t="n">
        <v>0.4966996683416428</v>
      </c>
      <c r="H3977" t="n">
        <v>0.0330600547429271</v>
      </c>
      <c r="I3977" t="n">
        <v>0.0141638689008398</v>
      </c>
      <c r="J3977" t="n">
        <v>0.0062832888623321</v>
      </c>
      <c r="K3977" t="n">
        <v>0.6479326441592652</v>
      </c>
      <c r="L3977" t="b">
        <v>0</v>
      </c>
      <c r="M3977" t="b">
        <v>0</v>
      </c>
      <c r="N3977" t="inlineStr">
        <is>
          <t>ref</t>
        </is>
      </c>
      <c r="O3977" t="n">
        <v>100</v>
      </c>
      <c r="P3977" t="n">
        <v>0.00222</v>
      </c>
      <c r="Q3977" t="n">
        <v>-95</v>
      </c>
      <c r="R3977" t="n">
        <v>0.08019999999999999</v>
      </c>
      <c r="S3977">
        <f>IMAGE("https://mitra.stanford.edu/kundaje/oak/projects/neuro-variants/variant_position/credible/roussos_2024/variant_figures/roussos_2024.childhood.GLU/rs2436936_count_position.png",4,220,900)</f>
        <v/>
      </c>
      <c r="T3977">
        <f>IMAGE("https://mitra.stanford.edu/kundaje/oak/projects/neuro-variants/variant_position/credible/roussos_2024/variant_figures/roussos_2024.childhood.GLU/rs2436936_profile_position.png",4,220,900)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-0.00944877264</v>
      </c>
      <c r="G3978" t="n">
        <v>0.6816111761686718</v>
      </c>
      <c r="H3978" t="n">
        <v>0.0229700677215411</v>
      </c>
      <c r="I3978" t="n">
        <v>0.0590311235212887</v>
      </c>
      <c r="J3978" t="n">
        <v>0.0172149134103247</v>
      </c>
      <c r="K3978" t="n">
        <v>0.5180734819594026</v>
      </c>
      <c r="L3978" t="b">
        <v>0</v>
      </c>
      <c r="M3978" t="b">
        <v>0</v>
      </c>
      <c r="N3978" t="inlineStr">
        <is>
          <t>ref</t>
        </is>
      </c>
      <c r="O3978" t="n">
        <v>-85</v>
      </c>
      <c r="P3978" t="n">
        <v>0.01913</v>
      </c>
      <c r="Q3978" t="n">
        <v>-35</v>
      </c>
      <c r="R3978" t="n">
        <v>0.08136</v>
      </c>
      <c r="S3978">
        <f>IMAGE("https://mitra.stanford.edu/kundaje/oak/projects/neuro-variants/variant_position/credible/roussos_2024/variant_figures/roussos_2024.childhood.GLU/rs7841632_count_position.png",4,220,900)</f>
        <v/>
      </c>
      <c r="T3978">
        <f>IMAGE("https://mitra.stanford.edu/kundaje/oak/projects/neuro-variants/variant_position/credible/roussos_2024/variant_figures/roussos_2024.childhood.GLU/rs7841632_profile_position.png",4,220,900)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-0.099608857</v>
      </c>
      <c r="G3979" t="n">
        <v>0.0463985213237152</v>
      </c>
      <c r="H3979" t="n">
        <v>0.0176547001366266</v>
      </c>
      <c r="I3979" t="n">
        <v>0.150304136163465</v>
      </c>
      <c r="J3979" t="n">
        <v>0.0056527965219899</v>
      </c>
      <c r="K3979" t="n">
        <v>0.6729036888821688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-45</v>
      </c>
      <c r="R3979" t="n">
        <v>0.05933</v>
      </c>
      <c r="S3979">
        <f>IMAGE("https://mitra.stanford.edu/kundaje/oak/projects/neuro-variants/variant_position/credible/roussos_2024/variant_figures/roussos_2024.childhood.GLU/rs36043959_count_position.png",4,220,900)</f>
        <v/>
      </c>
      <c r="T3979">
        <f>IMAGE("https://mitra.stanford.edu/kundaje/oak/projects/neuro-variants/variant_position/credible/roussos_2024/variant_figures/roussos_2024.childhood.GLU/rs36043959_profile_position.png",4,220,900)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-0.01775895378</v>
      </c>
      <c r="G3980" t="n">
        <v>0.5292175857476972</v>
      </c>
      <c r="H3980" t="n">
        <v>0.0295810450006096</v>
      </c>
      <c r="I3980" t="n">
        <v>0.0224746251547164</v>
      </c>
      <c r="J3980" t="n">
        <v>0.0006820031524616</v>
      </c>
      <c r="K3980" t="n">
        <v>0.851108445795038</v>
      </c>
      <c r="L3980" t="b">
        <v>0</v>
      </c>
      <c r="M3980" t="b">
        <v>0</v>
      </c>
      <c r="N3980" t="inlineStr">
        <is>
          <t>ref</t>
        </is>
      </c>
      <c r="O3980" t="n">
        <v>25</v>
      </c>
      <c r="P3980" t="n">
        <v>0.0003128</v>
      </c>
      <c r="Q3980" t="n">
        <v>90</v>
      </c>
      <c r="R3980" t="n">
        <v>0.059</v>
      </c>
      <c r="S3980">
        <f>IMAGE("https://mitra.stanford.edu/kundaje/oak/projects/neuro-variants/variant_position/credible/roussos_2024/variant_figures/roussos_2024.childhood.GLU/rs13267290_count_position.png",4,220,900)</f>
        <v/>
      </c>
      <c r="T3980">
        <f>IMAGE("https://mitra.stanford.edu/kundaje/oak/projects/neuro-variants/variant_position/credible/roussos_2024/variant_figures/roussos_2024.childhood.GLU/rs13267290_profile_position.png",4,220,900)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0.137524692</v>
      </c>
      <c r="G3981" t="n">
        <v>0.0227811104672781</v>
      </c>
      <c r="H3981" t="n">
        <v>0.0290281124151023</v>
      </c>
      <c r="I3981" t="n">
        <v>0.0290980502559537</v>
      </c>
      <c r="J3981" t="n">
        <v>0.0193237660584956</v>
      </c>
      <c r="K3981" t="n">
        <v>0.504380735677515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0.005615</v>
      </c>
      <c r="Q3981" t="n">
        <v>15</v>
      </c>
      <c r="R3981" t="n">
        <v>0.01624</v>
      </c>
      <c r="S3981">
        <f>IMAGE("https://mitra.stanford.edu/kundaje/oak/projects/neuro-variants/variant_position/credible/roussos_2024/variant_figures/roussos_2024.childhood.GLU/rs6995307_count_position.png",4,220,900)</f>
        <v/>
      </c>
      <c r="T3981">
        <f>IMAGE("https://mitra.stanford.edu/kundaje/oak/projects/neuro-variants/variant_position/credible/roussos_2024/variant_figures/roussos_2024.childhood.GLU/rs6995307_profile_position.png",4,220,900)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-0.01357395226</v>
      </c>
      <c r="G3982" t="n">
        <v>0.5842878660817841</v>
      </c>
      <c r="H3982" t="n">
        <v>0.0343654515648651</v>
      </c>
      <c r="I3982" t="n">
        <v>0.012416583582977</v>
      </c>
      <c r="J3982" t="n">
        <v>0.0002637353580516</v>
      </c>
      <c r="K3982" t="n">
        <v>0.913045569380218</v>
      </c>
      <c r="L3982" t="b">
        <v>0</v>
      </c>
      <c r="M3982" t="b">
        <v>0</v>
      </c>
      <c r="N3982" t="inlineStr">
        <is>
          <t>ref</t>
        </is>
      </c>
      <c r="O3982" t="n">
        <v>100</v>
      </c>
      <c r="P3982" t="n">
        <v>0.0037</v>
      </c>
      <c r="Q3982" t="n">
        <v>100</v>
      </c>
      <c r="R3982" t="n">
        <v>0.0847</v>
      </c>
      <c r="S3982">
        <f>IMAGE("https://mitra.stanford.edu/kundaje/oak/projects/neuro-variants/variant_position/credible/roussos_2024/variant_figures/roussos_2024.childhood.GLU/rs111534212_count_position.png",4,220,900)</f>
        <v/>
      </c>
      <c r="T3982">
        <f>IMAGE("https://mitra.stanford.edu/kundaje/oak/projects/neuro-variants/variant_position/credible/roussos_2024/variant_figures/roussos_2024.childhood.GLU/rs111534212_profile_position.png",4,220,900)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-0.0482856118</v>
      </c>
      <c r="G3983" t="n">
        <v>0.1958391453495246</v>
      </c>
      <c r="H3983" t="n">
        <v>0.0252827980507658</v>
      </c>
      <c r="I3983" t="n">
        <v>0.0432230434587814</v>
      </c>
      <c r="J3983" t="n">
        <v>0.0066119278436543</v>
      </c>
      <c r="K3983" t="n">
        <v>0.6378841220249898</v>
      </c>
      <c r="L3983" t="b">
        <v>0</v>
      </c>
      <c r="M3983" t="b">
        <v>0</v>
      </c>
      <c r="N3983" t="inlineStr">
        <is>
          <t>ref</t>
        </is>
      </c>
      <c r="O3983" t="n">
        <v>-20</v>
      </c>
      <c r="P3983" t="n">
        <v>0.004517</v>
      </c>
      <c r="Q3983" t="n">
        <v>-60</v>
      </c>
      <c r="R3983" t="n">
        <v>0.05664</v>
      </c>
      <c r="S3983">
        <f>IMAGE("https://mitra.stanford.edu/kundaje/oak/projects/neuro-variants/variant_position/credible/roussos_2024/variant_figures/roussos_2024.childhood.GLU/rs13280766_count_position.png",4,220,900)</f>
        <v/>
      </c>
      <c r="T3983">
        <f>IMAGE("https://mitra.stanford.edu/kundaje/oak/projects/neuro-variants/variant_position/credible/roussos_2024/variant_figures/roussos_2024.childhood.GLU/rs13280766_profile_position.png",4,220,900)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-0.00352638402</v>
      </c>
      <c r="G3984" t="n">
        <v>0.761810282959256</v>
      </c>
      <c r="H3984" t="n">
        <v>0.0233619665721207</v>
      </c>
      <c r="I3984" t="n">
        <v>0.0568403295162873</v>
      </c>
      <c r="J3984" t="n">
        <v>0.0075483944079862</v>
      </c>
      <c r="K3984" t="n">
        <v>0.6256337116749243</v>
      </c>
      <c r="L3984" t="b">
        <v>0</v>
      </c>
      <c r="M3984" t="b">
        <v>0</v>
      </c>
      <c r="N3984" t="inlineStr">
        <is>
          <t>ref</t>
        </is>
      </c>
      <c r="O3984" t="n">
        <v>-45</v>
      </c>
      <c r="P3984" t="n">
        <v>0.03583</v>
      </c>
      <c r="Q3984" t="n">
        <v>-80</v>
      </c>
      <c r="R3984" t="n">
        <v>0.03766</v>
      </c>
      <c r="S3984">
        <f>IMAGE("https://mitra.stanford.edu/kundaje/oak/projects/neuro-variants/variant_position/credible/roussos_2024/variant_figures/roussos_2024.childhood.GLU/rs6990323_count_position.png",4,220,900)</f>
        <v/>
      </c>
      <c r="T3984">
        <f>IMAGE("https://mitra.stanford.edu/kundaje/oak/projects/neuro-variants/variant_position/credible/roussos_2024/variant_figures/roussos_2024.childhood.GLU/rs6990323_profile_position.png",4,220,900)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-0.0604857706</v>
      </c>
      <c r="G3985" t="n">
        <v>0.1368777512769532</v>
      </c>
      <c r="H3985" t="n">
        <v>0.0166290004257156</v>
      </c>
      <c r="I3985" t="n">
        <v>0.1846090149367498</v>
      </c>
      <c r="J3985" t="n">
        <v>0.0100157623085085</v>
      </c>
      <c r="K3985" t="n">
        <v>0.5943745228618819</v>
      </c>
      <c r="L3985" t="b">
        <v>0</v>
      </c>
      <c r="M3985" t="b">
        <v>0</v>
      </c>
      <c r="N3985" t="inlineStr">
        <is>
          <t>ref</t>
        </is>
      </c>
      <c r="O3985" t="n">
        <v>100</v>
      </c>
      <c r="P3985" t="n">
        <v>0.014206</v>
      </c>
      <c r="Q3985" t="n">
        <v>-25</v>
      </c>
      <c r="R3985" t="n">
        <v>0.0631</v>
      </c>
      <c r="S3985">
        <f>IMAGE("https://mitra.stanford.edu/kundaje/oak/projects/neuro-variants/variant_position/credible/roussos_2024/variant_figures/roussos_2024.childhood.GLU/rs16880919_count_position.png",4,220,900)</f>
        <v/>
      </c>
      <c r="T3985">
        <f>IMAGE("https://mitra.stanford.edu/kundaje/oak/projects/neuro-variants/variant_position/credible/roussos_2024/variant_figures/roussos_2024.childhood.GLU/rs16880919_profile_position.png",4,220,900)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-0.0456989192</v>
      </c>
      <c r="G3986" t="n">
        <v>0.2124108995792668</v>
      </c>
      <c r="H3986" t="n">
        <v>0.0107105447687233</v>
      </c>
      <c r="I3986" t="n">
        <v>0.5868522446692479</v>
      </c>
      <c r="J3986" t="n">
        <v>0.0071600028846054</v>
      </c>
      <c r="K3986" t="n">
        <v>0.6444847907707955</v>
      </c>
      <c r="L3986" t="b">
        <v>0</v>
      </c>
      <c r="M3986" t="b">
        <v>0</v>
      </c>
      <c r="N3986" t="inlineStr">
        <is>
          <t>ref</t>
        </is>
      </c>
      <c r="O3986" t="n">
        <v>70</v>
      </c>
      <c r="P3986" t="n">
        <v>0.0058</v>
      </c>
      <c r="Q3986" t="n">
        <v>-100</v>
      </c>
      <c r="R3986" t="n">
        <v>0.0997</v>
      </c>
      <c r="S3986">
        <f>IMAGE("https://mitra.stanford.edu/kundaje/oak/projects/neuro-variants/variant_position/credible/roussos_2024/variant_figures/roussos_2024.childhood.GLU/rs7007361_count_position.png",4,220,900)</f>
        <v/>
      </c>
      <c r="T3986">
        <f>IMAGE("https://mitra.stanford.edu/kundaje/oak/projects/neuro-variants/variant_position/credible/roussos_2024/variant_figures/roussos_2024.childhood.GLU/rs7007361_profile_position.png",4,220,900)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-0.0668254076</v>
      </c>
      <c r="G3987" t="n">
        <v>0.1072058090472476</v>
      </c>
      <c r="H3987" t="n">
        <v>0.0121707994506942</v>
      </c>
      <c r="I3987" t="n">
        <v>0.4391333467904105</v>
      </c>
      <c r="J3987" t="n">
        <v>0.0368920436399599</v>
      </c>
      <c r="K3987" t="n">
        <v>0.3962339013717807</v>
      </c>
      <c r="L3987" t="b">
        <v>0</v>
      </c>
      <c r="M3987" t="b">
        <v>0</v>
      </c>
      <c r="N3987" t="inlineStr">
        <is>
          <t>ref</t>
        </is>
      </c>
      <c r="O3987" t="n">
        <v>-70</v>
      </c>
      <c r="P3987" t="n">
        <v>0.01547</v>
      </c>
      <c r="Q3987" t="n">
        <v>-50</v>
      </c>
      <c r="R3987" t="n">
        <v>0.08373999999999999</v>
      </c>
      <c r="S3987">
        <f>IMAGE("https://mitra.stanford.edu/kundaje/oak/projects/neuro-variants/variant_position/credible/roussos_2024/variant_figures/roussos_2024.childhood.GLU/rs34921000_count_position.png",4,220,900)</f>
        <v/>
      </c>
      <c r="T3987">
        <f>IMAGE("https://mitra.stanford.edu/kundaje/oak/projects/neuro-variants/variant_position/credible/roussos_2024/variant_figures/roussos_2024.childhood.GLU/rs34921000_profile_position.png",4,220,900)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-0.02740166692</v>
      </c>
      <c r="G3988" t="n">
        <v>0.3679093280698975</v>
      </c>
      <c r="H3988" t="n">
        <v>0.01263306431234</v>
      </c>
      <c r="I3988" t="n">
        <v>0.4008133790218157</v>
      </c>
      <c r="J3988" t="n">
        <v>0.0510070363769354</v>
      </c>
      <c r="K3988" t="n">
        <v>0.3560741190434424</v>
      </c>
      <c r="L3988" t="b">
        <v>0</v>
      </c>
      <c r="M3988" t="b">
        <v>0</v>
      </c>
      <c r="N3988" t="inlineStr">
        <is>
          <t>ref</t>
        </is>
      </c>
      <c r="O3988" t="n">
        <v>100</v>
      </c>
      <c r="P3988" t="n">
        <v>0.06097</v>
      </c>
      <c r="Q3988" t="n">
        <v>45</v>
      </c>
      <c r="R3988" t="n">
        <v>0.1611</v>
      </c>
      <c r="S3988">
        <f>IMAGE("https://mitra.stanford.edu/kundaje/oak/projects/neuro-variants/variant_position/credible/roussos_2024/variant_figures/roussos_2024.childhood.GLU/rs800531_count_position.png",4,220,900)</f>
        <v/>
      </c>
      <c r="T3988">
        <f>IMAGE("https://mitra.stanford.edu/kundaje/oak/projects/neuro-variants/variant_position/credible/roussos_2024/variant_figures/roussos_2024.childhood.GLU/rs800531_profile_position.png",4,220,900)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0.02033445882</v>
      </c>
      <c r="G3989" t="n">
        <v>0.445390855636098</v>
      </c>
      <c r="H3989" t="n">
        <v>0.0106638649460308</v>
      </c>
      <c r="I3989" t="n">
        <v>0.5738215378781019</v>
      </c>
      <c r="J3989" t="n">
        <v>0.061803702597175</v>
      </c>
      <c r="K3989" t="n">
        <v>0.3146849433999094</v>
      </c>
      <c r="L3989" t="b">
        <v>0</v>
      </c>
      <c r="M3989" t="b">
        <v>0</v>
      </c>
      <c r="N3989" t="inlineStr">
        <is>
          <t>alt</t>
        </is>
      </c>
      <c r="O3989" t="n">
        <v>5</v>
      </c>
      <c r="P3989" t="n">
        <v>0.000931</v>
      </c>
      <c r="Q3989" t="n">
        <v>100</v>
      </c>
      <c r="R3989" t="n">
        <v>0.1831</v>
      </c>
      <c r="S3989">
        <f>IMAGE("https://mitra.stanford.edu/kundaje/oak/projects/neuro-variants/variant_position/credible/roussos_2024/variant_figures/roussos_2024.childhood.GLU/rs800524_count_position.png",4,220,900)</f>
        <v/>
      </c>
      <c r="T3989">
        <f>IMAGE("https://mitra.stanford.edu/kundaje/oak/projects/neuro-variants/variant_position/credible/roussos_2024/variant_figures/roussos_2024.childhood.GLU/rs800524_profile_position.png",4,220,900)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0.069360862</v>
      </c>
      <c r="G3990" t="n">
        <v>0.1026699120466367</v>
      </c>
      <c r="H3990" t="n">
        <v>0.0171596541415852</v>
      </c>
      <c r="I3990" t="n">
        <v>0.1664757866332878</v>
      </c>
      <c r="J3990" t="n">
        <v>0.0011569328402031</v>
      </c>
      <c r="K3990" t="n">
        <v>0.8137983258695718</v>
      </c>
      <c r="L3990" t="b">
        <v>0</v>
      </c>
      <c r="M3990" t="b">
        <v>0</v>
      </c>
      <c r="N3990" t="inlineStr">
        <is>
          <t>alt</t>
        </is>
      </c>
      <c r="O3990" t="n">
        <v>75</v>
      </c>
      <c r="P3990" t="n">
        <v>0.01599</v>
      </c>
      <c r="Q3990" t="n">
        <v>-25</v>
      </c>
      <c r="R3990" t="n">
        <v>0.03867</v>
      </c>
      <c r="S3990">
        <f>IMAGE("https://mitra.stanford.edu/kundaje/oak/projects/neuro-variants/variant_position/credible/roussos_2024/variant_figures/roussos_2024.childhood.GLU/rs800582_count_position.png",4,220,900)</f>
        <v/>
      </c>
      <c r="T3990">
        <f>IMAGE("https://mitra.stanford.edu/kundaje/oak/projects/neuro-variants/variant_position/credible/roussos_2024/variant_figures/roussos_2024.childhood.GLU/rs800582_profile_position.png",4,220,900)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0.0299513602</v>
      </c>
      <c r="G3991" t="n">
        <v>0.3217884798889132</v>
      </c>
      <c r="H3991" t="n">
        <v>0.024580913377119</v>
      </c>
      <c r="I3991" t="n">
        <v>0.0467816833962224</v>
      </c>
      <c r="J3991" t="n">
        <v>0.2095851319191898</v>
      </c>
      <c r="K3991" t="n">
        <v>0.1409322895427614</v>
      </c>
      <c r="L3991" t="b">
        <v>0</v>
      </c>
      <c r="M3991" t="b">
        <v>0</v>
      </c>
      <c r="N3991" t="inlineStr">
        <is>
          <t>alt</t>
        </is>
      </c>
      <c r="O3991" t="n">
        <v>100</v>
      </c>
      <c r="P3991" t="n">
        <v>0.01675</v>
      </c>
      <c r="Q3991" t="n">
        <v>-30</v>
      </c>
      <c r="R3991" t="n">
        <v>0.04517</v>
      </c>
      <c r="S3991">
        <f>IMAGE("https://mitra.stanford.edu/kundaje/oak/projects/neuro-variants/variant_position/credible/roussos_2024/variant_figures/roussos_2024.childhood.GLU/rs4876349_count_position.png",4,220,900)</f>
        <v/>
      </c>
      <c r="T3991">
        <f>IMAGE("https://mitra.stanford.edu/kundaje/oak/projects/neuro-variants/variant_position/credible/roussos_2024/variant_figures/roussos_2024.childhood.GLU/rs4876349_profile_position.png",4,220,900)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0.168361115</v>
      </c>
      <c r="G3992" t="n">
        <v>0.0177515234247752</v>
      </c>
      <c r="H3992" t="n">
        <v>0.0345036960311648</v>
      </c>
      <c r="I3992" t="n">
        <v>0.014813937378266</v>
      </c>
      <c r="J3992" t="n">
        <v>0.1328175384013104</v>
      </c>
      <c r="K3992" t="n">
        <v>0.2039301799703228</v>
      </c>
      <c r="L3992" t="b">
        <v>1</v>
      </c>
      <c r="M3992" t="b">
        <v>0</v>
      </c>
      <c r="N3992" t="inlineStr">
        <is>
          <t>alt</t>
        </is>
      </c>
      <c r="O3992" t="n">
        <v>-100</v>
      </c>
      <c r="P3992" t="n">
        <v>0.02309</v>
      </c>
      <c r="Q3992" t="n">
        <v>-20</v>
      </c>
      <c r="R3992" t="n">
        <v>0.03394</v>
      </c>
      <c r="S3992">
        <f>IMAGE("https://mitra.stanford.edu/kundaje/oak/projects/neuro-variants/variant_position/credible/roussos_2024/variant_figures/roussos_2024.childhood.GLU/rs76032162_count_position.png",4,220,900)</f>
        <v/>
      </c>
      <c r="T3992">
        <f>IMAGE("https://mitra.stanford.edu/kundaje/oak/projects/neuro-variants/variant_position/credible/roussos_2024/variant_figures/roussos_2024.childhood.GLU/rs76032162_profile_position.png",4,220,900)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0.0092139200199999</v>
      </c>
      <c r="G3993" t="n">
        <v>0.6465171239937405</v>
      </c>
      <c r="H3993" t="n">
        <v>0.0095819640644159</v>
      </c>
      <c r="I3993" t="n">
        <v>0.7122612499890895</v>
      </c>
      <c r="J3993" t="n">
        <v>0.005004790505527</v>
      </c>
      <c r="K3993" t="n">
        <v>0.6742433826714428</v>
      </c>
      <c r="L3993" t="b">
        <v>0</v>
      </c>
      <c r="M3993" t="b">
        <v>0</v>
      </c>
      <c r="N3993" t="inlineStr">
        <is>
          <t>alt</t>
        </is>
      </c>
      <c r="O3993" t="n">
        <v>-100</v>
      </c>
      <c r="P3993" t="n">
        <v>0.003712</v>
      </c>
      <c r="Q3993" t="n">
        <v>-95</v>
      </c>
      <c r="R3993" t="n">
        <v>0.1515</v>
      </c>
      <c r="S3993">
        <f>IMAGE("https://mitra.stanford.edu/kundaje/oak/projects/neuro-variants/variant_position/credible/roussos_2024/variant_figures/roussos_2024.childhood.GLU/rs10099070_count_position.png",4,220,900)</f>
        <v/>
      </c>
      <c r="T3993">
        <f>IMAGE("https://mitra.stanford.edu/kundaje/oak/projects/neuro-variants/variant_position/credible/roussos_2024/variant_figures/roussos_2024.childhood.GLU/rs10099070_profile_position.png",4,220,900)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-0.0404358992</v>
      </c>
      <c r="G3994" t="n">
        <v>0.2639737953023834</v>
      </c>
      <c r="H3994" t="n">
        <v>0.0472909346133152</v>
      </c>
      <c r="I3994" t="n">
        <v>0.0034125584494537</v>
      </c>
      <c r="J3994" t="n">
        <v>0.0028588500726302</v>
      </c>
      <c r="K3994" t="n">
        <v>0.7425007305247319</v>
      </c>
      <c r="L3994" t="b">
        <v>0</v>
      </c>
      <c r="M3994" t="b">
        <v>0</v>
      </c>
      <c r="N3994" t="inlineStr">
        <is>
          <t>ref</t>
        </is>
      </c>
      <c r="O3994" t="n">
        <v>-5</v>
      </c>
      <c r="P3994" t="n">
        <v>0.0002441</v>
      </c>
      <c r="Q3994" t="n">
        <v>-100</v>
      </c>
      <c r="R3994" t="n">
        <v>0.0852</v>
      </c>
      <c r="S3994">
        <f>IMAGE("https://mitra.stanford.edu/kundaje/oak/projects/neuro-variants/variant_position/credible/roussos_2024/variant_figures/roussos_2024.childhood.GLU/rs10111734_count_position.png",4,220,900)</f>
        <v/>
      </c>
      <c r="T3994">
        <f>IMAGE("https://mitra.stanford.edu/kundaje/oak/projects/neuro-variants/variant_position/credible/roussos_2024/variant_figures/roussos_2024.childhood.GLU/rs10111734_profile_position.png",4,220,900)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0.345057044</v>
      </c>
      <c r="G3995" t="n">
        <v>0.0012358724395794</v>
      </c>
      <c r="H3995" t="n">
        <v>0.06823945711882499</v>
      </c>
      <c r="I3995" t="n">
        <v>0.0008604620250697</v>
      </c>
      <c r="J3995" t="n">
        <v>0.2194381200614008</v>
      </c>
      <c r="K3995" t="n">
        <v>0.1367172903103091</v>
      </c>
      <c r="L3995" t="b">
        <v>1</v>
      </c>
      <c r="M3995" t="b">
        <v>1</v>
      </c>
      <c r="N3995" t="inlineStr">
        <is>
          <t>alt</t>
        </is>
      </c>
      <c r="O3995" t="n">
        <v>15</v>
      </c>
      <c r="P3995" t="n">
        <v>0.002075</v>
      </c>
      <c r="Q3995" t="n">
        <v>-55</v>
      </c>
      <c r="R3995" t="n">
        <v>0.03564</v>
      </c>
      <c r="S3995">
        <f>IMAGE("https://mitra.stanford.edu/kundaje/oak/projects/neuro-variants/variant_position/credible/roussos_2024/variant_figures/roussos_2024.childhood.GLU/rs6577846_count_position.png",4,220,900)</f>
        <v/>
      </c>
      <c r="T3995">
        <f>IMAGE("https://mitra.stanford.edu/kundaje/oak/projects/neuro-variants/variant_position/credible/roussos_2024/variant_figures/roussos_2024.childhood.GLU/rs6577846_profile_position.png",4,220,900)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0.00979665324</v>
      </c>
      <c r="G3996" t="n">
        <v>0.4957588966942786</v>
      </c>
      <c r="H3996" t="n">
        <v>0.0153639835777123</v>
      </c>
      <c r="I3996" t="n">
        <v>0.2359417243252462</v>
      </c>
      <c r="J3996" t="n">
        <v>0.1842160569503538</v>
      </c>
      <c r="K3996" t="n">
        <v>0.158178123444971</v>
      </c>
      <c r="L3996" t="b">
        <v>0</v>
      </c>
      <c r="M3996" t="b">
        <v>0</v>
      </c>
      <c r="N3996" t="inlineStr">
        <is>
          <t>alt</t>
        </is>
      </c>
      <c r="O3996" t="n">
        <v>-5</v>
      </c>
      <c r="P3996" t="n">
        <v>0.001404</v>
      </c>
      <c r="Q3996" t="n">
        <v>-60</v>
      </c>
      <c r="R3996" t="n">
        <v>0.01489</v>
      </c>
      <c r="S3996">
        <f>IMAGE("https://mitra.stanford.edu/kundaje/oak/projects/neuro-variants/variant_position/credible/roussos_2024/variant_figures/roussos_2024.childhood.GLU/rs10095483_count_position.png",4,220,900)</f>
        <v/>
      </c>
      <c r="T3996">
        <f>IMAGE("https://mitra.stanford.edu/kundaje/oak/projects/neuro-variants/variant_position/credible/roussos_2024/variant_figures/roussos_2024.childhood.GLU/rs10095483_profile_position.png",4,220,900)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0.14478253</v>
      </c>
      <c r="G3997" t="n">
        <v>0.0197719222646743</v>
      </c>
      <c r="H3997" t="n">
        <v>0.0206013968471835</v>
      </c>
      <c r="I3997" t="n">
        <v>0.09709444802769369</v>
      </c>
      <c r="J3997" t="n">
        <v>0.0243069220229325</v>
      </c>
      <c r="K3997" t="n">
        <v>0.4579714767195881</v>
      </c>
      <c r="L3997" t="b">
        <v>1</v>
      </c>
      <c r="M3997" t="b">
        <v>0</v>
      </c>
      <c r="N3997" t="inlineStr">
        <is>
          <t>alt</t>
        </is>
      </c>
      <c r="O3997" t="n">
        <v>75</v>
      </c>
      <c r="P3997" t="n">
        <v>0.01837</v>
      </c>
      <c r="Q3997" t="n">
        <v>-25</v>
      </c>
      <c r="R3997" t="n">
        <v>0.01514</v>
      </c>
      <c r="S3997">
        <f>IMAGE("https://mitra.stanford.edu/kundaje/oak/projects/neuro-variants/variant_position/credible/roussos_2024/variant_figures/roussos_2024.childhood.GLU/rs7844406_count_position.png",4,220,900)</f>
        <v/>
      </c>
      <c r="T3997">
        <f>IMAGE("https://mitra.stanford.edu/kundaje/oak/projects/neuro-variants/variant_position/credible/roussos_2024/variant_figures/roussos_2024.childhood.GLU/rs7844406_profile_position.png",4,220,900)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-0.036334999</v>
      </c>
      <c r="G3998" t="n">
        <v>0.2850188833780021</v>
      </c>
      <c r="H3998" t="n">
        <v>0.0304940393304437</v>
      </c>
      <c r="I3998" t="n">
        <v>0.0203890146828133</v>
      </c>
      <c r="J3998" t="n">
        <v>0.0306087547776277</v>
      </c>
      <c r="K3998" t="n">
        <v>0.4217496575565854</v>
      </c>
      <c r="L3998" t="b">
        <v>0</v>
      </c>
      <c r="M3998" t="b">
        <v>0</v>
      </c>
      <c r="N3998" t="inlineStr">
        <is>
          <t>ref</t>
        </is>
      </c>
      <c r="O3998" t="n">
        <v>-100</v>
      </c>
      <c r="P3998" t="n">
        <v>0.001457</v>
      </c>
      <c r="Q3998" t="n">
        <v>-50</v>
      </c>
      <c r="R3998" t="n">
        <v>0.04388</v>
      </c>
      <c r="S3998">
        <f>IMAGE("https://mitra.stanford.edu/kundaje/oak/projects/neuro-variants/variant_position/credible/roussos_2024/variant_figures/roussos_2024.childhood.GLU/rs7840432_count_position.png",4,220,900)</f>
        <v/>
      </c>
      <c r="T3998">
        <f>IMAGE("https://mitra.stanford.edu/kundaje/oak/projects/neuro-variants/variant_position/credible/roussos_2024/variant_figures/roussos_2024.childhood.GLU/rs7840432_profile_position.png",4,220,900)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-0.036879483</v>
      </c>
      <c r="G3999" t="n">
        <v>0.2730095909267153</v>
      </c>
      <c r="H3999" t="n">
        <v>0.009921842478619399</v>
      </c>
      <c r="I3999" t="n">
        <v>0.6680867166199014</v>
      </c>
      <c r="J3999" t="n">
        <v>0.3939577817383869</v>
      </c>
      <c r="K3999" t="n">
        <v>0.0660009409736854</v>
      </c>
      <c r="L3999" t="b">
        <v>0</v>
      </c>
      <c r="M3999" t="b">
        <v>0</v>
      </c>
      <c r="N3999" t="inlineStr">
        <is>
          <t>ref</t>
        </is>
      </c>
      <c r="O3999" t="n">
        <v>80</v>
      </c>
      <c r="P3999" t="n">
        <v>0.003336</v>
      </c>
      <c r="Q3999" t="n">
        <v>20</v>
      </c>
      <c r="R3999" t="n">
        <v>0.03516</v>
      </c>
      <c r="S3999">
        <f>IMAGE("https://mitra.stanford.edu/kundaje/oak/projects/neuro-variants/variant_position/credible/roussos_2024/variant_figures/roussos_2024.childhood.GLU/rs13274282_count_position.png",4,220,900)</f>
        <v/>
      </c>
      <c r="T3999">
        <f>IMAGE("https://mitra.stanford.edu/kundaje/oak/projects/neuro-variants/variant_position/credible/roussos_2024/variant_figures/roussos_2024.childhood.GLU/rs13274282_profile_position.png",4,220,900)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-0.0426913908</v>
      </c>
      <c r="G4000" t="n">
        <v>0.227702294921589</v>
      </c>
      <c r="H4000" t="n">
        <v>0.0109345429412301</v>
      </c>
      <c r="I4000" t="n">
        <v>0.5604354682105668</v>
      </c>
      <c r="J4000" t="n">
        <v>0.3958070198934756</v>
      </c>
      <c r="K4000" t="n">
        <v>0.06550545525409859</v>
      </c>
      <c r="L4000" t="b">
        <v>0</v>
      </c>
      <c r="M4000" t="b">
        <v>0</v>
      </c>
      <c r="N4000" t="inlineStr">
        <is>
          <t>ref</t>
        </is>
      </c>
      <c r="O4000" t="n">
        <v>90</v>
      </c>
      <c r="P4000" t="n">
        <v>0.001268</v>
      </c>
      <c r="Q4000" t="n">
        <v>-20</v>
      </c>
      <c r="R4000" t="n">
        <v>0.0506</v>
      </c>
      <c r="S4000">
        <f>IMAGE("https://mitra.stanford.edu/kundaje/oak/projects/neuro-variants/variant_position/credible/roussos_2024/variant_figures/roussos_2024.childhood.GLU/rs62520201_count_position.png",4,220,900)</f>
        <v/>
      </c>
      <c r="T4000">
        <f>IMAGE("https://mitra.stanford.edu/kundaje/oak/projects/neuro-variants/variant_position/credible/roussos_2024/variant_figures/roussos_2024.childhood.GLU/rs62520201_profile_position.png",4,220,900)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0.169704605</v>
      </c>
      <c r="G4001" t="n">
        <v>0.0120718002108997</v>
      </c>
      <c r="H4001" t="n">
        <v>0.0205066383322073</v>
      </c>
      <c r="I4001" t="n">
        <v>0.0915543829420693</v>
      </c>
      <c r="J4001" t="n">
        <v>0.4024570657380984</v>
      </c>
      <c r="K4001" t="n">
        <v>0.063898857426764</v>
      </c>
      <c r="L4001" t="b">
        <v>1</v>
      </c>
      <c r="M4001" t="b">
        <v>0</v>
      </c>
      <c r="N4001" t="inlineStr">
        <is>
          <t>alt</t>
        </is>
      </c>
      <c r="O4001" t="n">
        <v>40</v>
      </c>
      <c r="P4001" t="n">
        <v>0.000946</v>
      </c>
      <c r="Q4001" t="n">
        <v>35</v>
      </c>
      <c r="R4001" t="n">
        <v>0.03662</v>
      </c>
      <c r="S4001">
        <f>IMAGE("https://mitra.stanford.edu/kundaje/oak/projects/neuro-variants/variant_position/credible/roussos_2024/variant_figures/roussos_2024.childhood.GLU/rs2319423_count_position.png",4,220,900)</f>
        <v/>
      </c>
      <c r="T4001">
        <f>IMAGE("https://mitra.stanford.edu/kundaje/oak/projects/neuro-variants/variant_position/credible/roussos_2024/variant_figures/roussos_2024.childhood.GLU/rs2319423_profile_position.png",4,220,900)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0.000976061352</v>
      </c>
      <c r="G4002" t="n">
        <v>0.7533063976685146</v>
      </c>
      <c r="H4002" t="n">
        <v>0.008514178517414</v>
      </c>
      <c r="I4002" t="n">
        <v>0.8073251179350016</v>
      </c>
      <c r="J4002" t="n">
        <v>0.2164813994457436</v>
      </c>
      <c r="K4002" t="n">
        <v>0.1367299711521993</v>
      </c>
      <c r="L4002" t="b">
        <v>0</v>
      </c>
      <c r="M4002" t="b">
        <v>0</v>
      </c>
      <c r="N4002" t="inlineStr">
        <is>
          <t>alt</t>
        </is>
      </c>
      <c r="O4002" t="n">
        <v>-95</v>
      </c>
      <c r="P4002" t="n">
        <v>0.0365</v>
      </c>
      <c r="Q4002" t="n">
        <v>-90</v>
      </c>
      <c r="R4002" t="n">
        <v>0.2642</v>
      </c>
      <c r="S4002">
        <f>IMAGE("https://mitra.stanford.edu/kundaje/oak/projects/neuro-variants/variant_position/credible/roussos_2024/variant_figures/roussos_2024.childhood.GLU/rs10101804_count_position.png",4,220,900)</f>
        <v/>
      </c>
      <c r="T4002">
        <f>IMAGE("https://mitra.stanford.edu/kundaje/oak/projects/neuro-variants/variant_position/credible/roussos_2024/variant_figures/roussos_2024.childhood.GLU/rs10101804_profile_position.png",4,220,900)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-0.00923561304</v>
      </c>
      <c r="G4003" t="n">
        <v>0.6693441414982646</v>
      </c>
      <c r="H4003" t="n">
        <v>0.0306788297542989</v>
      </c>
      <c r="I4003" t="n">
        <v>0.0191953853791649</v>
      </c>
      <c r="J4003" t="n">
        <v>0.0009436780780285</v>
      </c>
      <c r="K4003" t="n">
        <v>0.8309466002036592</v>
      </c>
      <c r="L4003" t="b">
        <v>0</v>
      </c>
      <c r="M4003" t="b">
        <v>0</v>
      </c>
      <c r="N4003" t="inlineStr">
        <is>
          <t>ref</t>
        </is>
      </c>
      <c r="O4003" t="n">
        <v>-15</v>
      </c>
      <c r="P4003" t="n">
        <v>0.001389</v>
      </c>
      <c r="Q4003" t="n">
        <v>-5</v>
      </c>
      <c r="R4003" t="n">
        <v>0.01495</v>
      </c>
      <c r="S4003">
        <f>IMAGE("https://mitra.stanford.edu/kundaje/oak/projects/neuro-variants/variant_position/credible/roussos_2024/variant_figures/roussos_2024.childhood.GLU/rs9693845_count_position.png",4,220,900)</f>
        <v/>
      </c>
      <c r="T4003">
        <f>IMAGE("https://mitra.stanford.edu/kundaje/oak/projects/neuro-variants/variant_position/credible/roussos_2024/variant_figures/roussos_2024.childhood.GLU/rs9693845_profile_position.png",4,220,900)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0.00717249238</v>
      </c>
      <c r="G4004" t="n">
        <v>0.7202996868356717</v>
      </c>
      <c r="H4004" t="n">
        <v>0.011422024403544</v>
      </c>
      <c r="I4004" t="n">
        <v>0.5007014404927883</v>
      </c>
      <c r="J4004" t="n">
        <v>0.0403185428621467</v>
      </c>
      <c r="K4004" t="n">
        <v>0.3832852990178813</v>
      </c>
      <c r="L4004" t="b">
        <v>0</v>
      </c>
      <c r="M4004" t="b">
        <v>0</v>
      </c>
      <c r="N4004" t="inlineStr">
        <is>
          <t>alt</t>
        </is>
      </c>
      <c r="O4004" t="n">
        <v>-100</v>
      </c>
      <c r="P4004" t="n">
        <v>0.00757</v>
      </c>
      <c r="Q4004" t="n">
        <v>-100</v>
      </c>
      <c r="R4004" t="n">
        <v>0.1494</v>
      </c>
      <c r="S4004">
        <f>IMAGE("https://mitra.stanford.edu/kundaje/oak/projects/neuro-variants/variant_position/credible/roussos_2024/variant_figures/roussos_2024.childhood.GLU/rs16893602_count_position.png",4,220,900)</f>
        <v/>
      </c>
      <c r="T4004">
        <f>IMAGE("https://mitra.stanford.edu/kundaje/oak/projects/neuro-variants/variant_position/credible/roussos_2024/variant_figures/roussos_2024.childhood.GLU/rs16893602_profile_position.png",4,220,900)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0.158359656</v>
      </c>
      <c r="G4005" t="n">
        <v>0.0162422587326302</v>
      </c>
      <c r="H4005" t="n">
        <v>0.0194055545387523</v>
      </c>
      <c r="I4005" t="n">
        <v>0.1143409978332168</v>
      </c>
      <c r="J4005" t="n">
        <v>0.2022984124367704</v>
      </c>
      <c r="K4005" t="n">
        <v>0.1509474201498239</v>
      </c>
      <c r="L4005" t="b">
        <v>1</v>
      </c>
      <c r="M4005" t="b">
        <v>0</v>
      </c>
      <c r="N4005" t="inlineStr">
        <is>
          <t>alt</t>
        </is>
      </c>
      <c r="O4005" t="n">
        <v>-95</v>
      </c>
      <c r="P4005" t="n">
        <v>0.000432</v>
      </c>
      <c r="Q4005" t="n">
        <v>-90</v>
      </c>
      <c r="R4005" t="n">
        <v>0.01782</v>
      </c>
      <c r="S4005">
        <f>IMAGE("https://mitra.stanford.edu/kundaje/oak/projects/neuro-variants/variant_position/credible/roussos_2024/variant_figures/roussos_2024.childhood.GLU/rs741469_count_position.png",4,220,900)</f>
        <v/>
      </c>
      <c r="T4005">
        <f>IMAGE("https://mitra.stanford.edu/kundaje/oak/projects/neuro-variants/variant_position/credible/roussos_2024/variant_figures/roussos_2024.childhood.GLU/rs741469_profile_position.png",4,220,900)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-0.02285691166</v>
      </c>
      <c r="G4006" t="n">
        <v>0.4065421992425824</v>
      </c>
      <c r="H4006" t="n">
        <v>0.0163689348421858</v>
      </c>
      <c r="I4006" t="n">
        <v>0.2044745643594003</v>
      </c>
      <c r="J4006" t="n">
        <v>0.4672803321417165</v>
      </c>
      <c r="K4006" t="n">
        <v>0.0485640733397127</v>
      </c>
      <c r="L4006" t="b">
        <v>0</v>
      </c>
      <c r="M4006" t="b">
        <v>0</v>
      </c>
      <c r="N4006" t="inlineStr">
        <is>
          <t>ref</t>
        </is>
      </c>
      <c r="O4006" t="n">
        <v>-75</v>
      </c>
      <c r="P4006" t="n">
        <v>0.04507</v>
      </c>
      <c r="Q4006" t="n">
        <v>10</v>
      </c>
      <c r="R4006" t="n">
        <v>0.01782</v>
      </c>
      <c r="S4006">
        <f>IMAGE("https://mitra.stanford.edu/kundaje/oak/projects/neuro-variants/variant_position/credible/roussos_2024/variant_figures/roussos_2024.childhood.GLU/rs199211_count_position.png",4,220,900)</f>
        <v/>
      </c>
      <c r="T4006">
        <f>IMAGE("https://mitra.stanford.edu/kundaje/oak/projects/neuro-variants/variant_position/credible/roussos_2024/variant_figures/roussos_2024.childhood.GLU/rs199211_profile_position.png",4,220,900)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-0.01284077934</v>
      </c>
      <c r="G4007" t="n">
        <v>0.6175263830998124</v>
      </c>
      <c r="H4007" t="n">
        <v>0.0131617134584996</v>
      </c>
      <c r="I4007" t="n">
        <v>0.3487096079818695</v>
      </c>
      <c r="J4007" t="n">
        <v>0.2243522515375977</v>
      </c>
      <c r="K4007" t="n">
        <v>0.1467333735961584</v>
      </c>
      <c r="L4007" t="b">
        <v>0</v>
      </c>
      <c r="M4007" t="b">
        <v>0</v>
      </c>
      <c r="N4007" t="inlineStr">
        <is>
          <t>ref</t>
        </is>
      </c>
      <c r="O4007" t="n">
        <v>100</v>
      </c>
      <c r="P4007" t="n">
        <v>0.01877</v>
      </c>
      <c r="Q4007" t="n">
        <v>100</v>
      </c>
      <c r="R4007" t="n">
        <v>0.12054</v>
      </c>
      <c r="S4007">
        <f>IMAGE("https://mitra.stanford.edu/kundaje/oak/projects/neuro-variants/variant_position/credible/roussos_2024/variant_figures/roussos_2024.childhood.GLU/rs11786405_count_position.png",4,220,900)</f>
        <v/>
      </c>
      <c r="T4007">
        <f>IMAGE("https://mitra.stanford.edu/kundaje/oak/projects/neuro-variants/variant_position/credible/roussos_2024/variant_figures/roussos_2024.childhood.GLU/rs11786405_profile_position.png",4,220,900)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0.0312572296</v>
      </c>
      <c r="G4008" t="n">
        <v>0.316186547701436</v>
      </c>
      <c r="H4008" t="n">
        <v>0.0124656667897637</v>
      </c>
      <c r="I4008" t="n">
        <v>0.4215404249391962</v>
      </c>
      <c r="J4008" t="n">
        <v>0.6810213563827048</v>
      </c>
      <c r="K4008" t="n">
        <v>0.0169224008373802</v>
      </c>
      <c r="L4008" t="b">
        <v>0</v>
      </c>
      <c r="M4008" t="b">
        <v>0</v>
      </c>
      <c r="N4008" t="inlineStr">
        <is>
          <t>alt</t>
        </is>
      </c>
      <c r="O4008" t="n">
        <v>-100</v>
      </c>
      <c r="P4008" t="n">
        <v>0.006714</v>
      </c>
      <c r="Q4008" t="n">
        <v>-100</v>
      </c>
      <c r="R4008" t="n">
        <v>0.1909</v>
      </c>
      <c r="S4008">
        <f>IMAGE("https://mitra.stanford.edu/kundaje/oak/projects/neuro-variants/variant_position/credible/roussos_2024/variant_figures/roussos_2024.childhood.GLU/rs4976978_count_position.png",4,220,900)</f>
        <v/>
      </c>
      <c r="T4008">
        <f>IMAGE("https://mitra.stanford.edu/kundaje/oak/projects/neuro-variants/variant_position/credible/roussos_2024/variant_figures/roussos_2024.childhood.GLU/rs4976978_profile_position.png",4,220,900)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0.08863905459999991</v>
      </c>
      <c r="G4009" t="n">
        <v>0.0600029884081521</v>
      </c>
      <c r="H4009" t="n">
        <v>0.0177794635176286</v>
      </c>
      <c r="I4009" t="n">
        <v>0.1478622326640654</v>
      </c>
      <c r="J4009" t="n">
        <v>0.2770797490393233</v>
      </c>
      <c r="K4009" t="n">
        <v>0.1085096871690685</v>
      </c>
      <c r="L4009" t="b">
        <v>0</v>
      </c>
      <c r="M4009" t="b">
        <v>0</v>
      </c>
      <c r="N4009" t="inlineStr">
        <is>
          <t>alt</t>
        </is>
      </c>
      <c r="O4009" t="n">
        <v>85</v>
      </c>
      <c r="P4009" t="n">
        <v>0.0005655</v>
      </c>
      <c r="Q4009" t="n">
        <v>5</v>
      </c>
      <c r="R4009" t="n">
        <v>0.012054</v>
      </c>
      <c r="S4009">
        <f>IMAGE("https://mitra.stanford.edu/kundaje/oak/projects/neuro-variants/variant_position/credible/roussos_2024/variant_figures/roussos_2024.childhood.GLU/rs4976981_count_position.png",4,220,900)</f>
        <v/>
      </c>
      <c r="T4009">
        <f>IMAGE("https://mitra.stanford.edu/kundaje/oak/projects/neuro-variants/variant_position/credible/roussos_2024/variant_figures/roussos_2024.childhood.GLU/rs4976981_profile_position.png",4,220,900)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-0.07750390879999999</v>
      </c>
      <c r="G4010" t="n">
        <v>0.0765525854921974</v>
      </c>
      <c r="H4010" t="n">
        <v>0.0114676324043056</v>
      </c>
      <c r="I4010" t="n">
        <v>0.505936090940564</v>
      </c>
      <c r="J4010" t="n">
        <v>0.0203498614359153</v>
      </c>
      <c r="K4010" t="n">
        <v>0.4942039513926188</v>
      </c>
      <c r="L4010" t="b">
        <v>0</v>
      </c>
      <c r="M4010" t="b">
        <v>0</v>
      </c>
      <c r="N4010" t="inlineStr">
        <is>
          <t>ref</t>
        </is>
      </c>
      <c r="O4010" t="n">
        <v>-60</v>
      </c>
      <c r="P4010" t="n">
        <v>0.04443</v>
      </c>
      <c r="Q4010" t="n">
        <v>85</v>
      </c>
      <c r="R4010" t="n">
        <v>0.209</v>
      </c>
      <c r="S4010">
        <f>IMAGE("https://mitra.stanford.edu/kundaje/oak/projects/neuro-variants/variant_position/credible/roussos_2024/variant_figures/roussos_2024.childhood.GLU/rs7832212_count_position.png",4,220,900)</f>
        <v/>
      </c>
      <c r="T4010">
        <f>IMAGE("https://mitra.stanford.edu/kundaje/oak/projects/neuro-variants/variant_position/credible/roussos_2024/variant_figures/roussos_2024.childhood.GLU/rs7832212_profile_position.png",4,220,900)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0.19818582</v>
      </c>
      <c r="G4011" t="n">
        <v>0.0086207543951409</v>
      </c>
      <c r="H4011" t="n">
        <v>0.0192721944990599</v>
      </c>
      <c r="I4011" t="n">
        <v>0.119731700980131</v>
      </c>
      <c r="J4011" t="n">
        <v>0.049187674492876</v>
      </c>
      <c r="K4011" t="n">
        <v>0.3687073978083937</v>
      </c>
      <c r="L4011" t="b">
        <v>1</v>
      </c>
      <c r="M4011" t="b">
        <v>1</v>
      </c>
      <c r="N4011" t="inlineStr">
        <is>
          <t>alt</t>
        </is>
      </c>
      <c r="O4011" t="n">
        <v>25</v>
      </c>
      <c r="P4011" t="n">
        <v>0.001009</v>
      </c>
      <c r="Q4011" t="n">
        <v>35</v>
      </c>
      <c r="R4011" t="n">
        <v>0.009766</v>
      </c>
      <c r="S4011">
        <f>IMAGE("https://mitra.stanford.edu/kundaje/oak/projects/neuro-variants/variant_position/credible/roussos_2024/variant_figures/roussos_2024.childhood.GLU/rs7822538_count_position.png",4,220,900)</f>
        <v/>
      </c>
      <c r="T4011">
        <f>IMAGE("https://mitra.stanford.edu/kundaje/oak/projects/neuro-variants/variant_position/credible/roussos_2024/variant_figures/roussos_2024.childhood.GLU/rs7822538_profile_position.png",4,220,900)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0.0005514021</v>
      </c>
      <c r="G4012" t="n">
        <v>0.8102647569227652</v>
      </c>
      <c r="H4012" t="n">
        <v>0.0121666238720418</v>
      </c>
      <c r="I4012" t="n">
        <v>0.437698733178146</v>
      </c>
      <c r="J4012" t="n">
        <v>0.6200428569956833</v>
      </c>
      <c r="K4012" t="n">
        <v>0.0237507088470532</v>
      </c>
      <c r="L4012" t="b">
        <v>0</v>
      </c>
      <c r="M4012" t="b">
        <v>0</v>
      </c>
      <c r="N4012" t="inlineStr">
        <is>
          <t>alt</t>
        </is>
      </c>
      <c r="O4012" t="n">
        <v>10</v>
      </c>
      <c r="P4012" t="n">
        <v>0.0008106</v>
      </c>
      <c r="Q4012" t="n">
        <v>100</v>
      </c>
      <c r="R4012" t="n">
        <v>0.1013</v>
      </c>
      <c r="S4012">
        <f>IMAGE("https://mitra.stanford.edu/kundaje/oak/projects/neuro-variants/variant_position/credible/roussos_2024/variant_figures/roussos_2024.childhood.GLU/rs9694368_count_position.png",4,220,900)</f>
        <v/>
      </c>
      <c r="T4012">
        <f>IMAGE("https://mitra.stanford.edu/kundaje/oak/projects/neuro-variants/variant_position/credible/roussos_2024/variant_figures/roussos_2024.childhood.GLU/rs9694368_profile_position.png",4,220,900)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-0.0006022423359999</v>
      </c>
      <c r="G4013" t="n">
        <v>0.8745541809616165</v>
      </c>
      <c r="H4013" t="n">
        <v>0.0124055497834401</v>
      </c>
      <c r="I4013" t="n">
        <v>0.4187643663571799</v>
      </c>
      <c r="J4013" t="n">
        <v>0.4072650849413292</v>
      </c>
      <c r="K4013" t="n">
        <v>0.0622853261348664</v>
      </c>
      <c r="L4013" t="b">
        <v>0</v>
      </c>
      <c r="M4013" t="b">
        <v>0</v>
      </c>
      <c r="N4013" t="inlineStr">
        <is>
          <t>ref</t>
        </is>
      </c>
      <c r="O4013" t="n">
        <v>-50</v>
      </c>
      <c r="P4013" t="n">
        <v>0.000572</v>
      </c>
      <c r="Q4013" t="n">
        <v>70</v>
      </c>
      <c r="R4013" t="n">
        <v>0.0897</v>
      </c>
      <c r="S4013">
        <f>IMAGE("https://mitra.stanford.edu/kundaje/oak/projects/neuro-variants/variant_position/credible/roussos_2024/variant_figures/roussos_2024.childhood.GLU/rs7830479_count_position.png",4,220,900)</f>
        <v/>
      </c>
      <c r="T4013">
        <f>IMAGE("https://mitra.stanford.edu/kundaje/oak/projects/neuro-variants/variant_position/credible/roussos_2024/variant_figures/roussos_2024.childhood.GLU/rs7830479_profile_position.png",4,220,900)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0.0655531152</v>
      </c>
      <c r="G4014" t="n">
        <v>0.1164590680831251</v>
      </c>
      <c r="H4014" t="n">
        <v>0.0156766661458876</v>
      </c>
      <c r="I4014" t="n">
        <v>0.2309046093733462</v>
      </c>
      <c r="J4014" t="n">
        <v>0.4802105761999443</v>
      </c>
      <c r="K4014" t="n">
        <v>0.0458044849707352</v>
      </c>
      <c r="L4014" t="b">
        <v>0</v>
      </c>
      <c r="M4014" t="b">
        <v>0</v>
      </c>
      <c r="N4014" t="inlineStr">
        <is>
          <t>alt</t>
        </is>
      </c>
      <c r="O4014" t="n">
        <v>45</v>
      </c>
      <c r="P4014" t="n">
        <v>0.001844</v>
      </c>
      <c r="Q4014" t="n">
        <v>-10</v>
      </c>
      <c r="R4014" t="n">
        <v>0.00842</v>
      </c>
      <c r="S4014">
        <f>IMAGE("https://mitra.stanford.edu/kundaje/oak/projects/neuro-variants/variant_position/credible/roussos_2024/variant_figures/roussos_2024.childhood.GLU/rs7824786_count_position.png",4,220,900)</f>
        <v/>
      </c>
      <c r="T4014">
        <f>IMAGE("https://mitra.stanford.edu/kundaje/oak/projects/neuro-variants/variant_position/credible/roussos_2024/variant_figures/roussos_2024.childhood.GLU/rs7824786_profile_position.png",4,220,900)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-0.0405282323999999</v>
      </c>
      <c r="G4015" t="n">
        <v>0.2482471782009996</v>
      </c>
      <c r="H4015" t="n">
        <v>0.009123195852140499</v>
      </c>
      <c r="I4015" t="n">
        <v>0.7593395899591382</v>
      </c>
      <c r="J4015" t="n">
        <v>0.48297258594579</v>
      </c>
      <c r="K4015" t="n">
        <v>0.0453503337890805</v>
      </c>
      <c r="L4015" t="b">
        <v>0</v>
      </c>
      <c r="M4015" t="b">
        <v>0</v>
      </c>
      <c r="N4015" t="inlineStr">
        <is>
          <t>ref</t>
        </is>
      </c>
      <c r="O4015" t="n">
        <v>-100</v>
      </c>
      <c r="P4015" t="n">
        <v>0.00831</v>
      </c>
      <c r="Q4015" t="n">
        <v>100</v>
      </c>
      <c r="R4015" t="n">
        <v>0.1781</v>
      </c>
      <c r="S4015">
        <f>IMAGE("https://mitra.stanford.edu/kundaje/oak/projects/neuro-variants/variant_position/credible/roussos_2024/variant_figures/roussos_2024.childhood.GLU/rs11996840_count_position.png",4,220,900)</f>
        <v/>
      </c>
      <c r="T4015">
        <f>IMAGE("https://mitra.stanford.edu/kundaje/oak/projects/neuro-variants/variant_position/credible/roussos_2024/variant_figures/roussos_2024.childhood.GLU/rs11996840_profile_position.png",4,220,900)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0.08735090579999991</v>
      </c>
      <c r="G4016" t="n">
        <v>0.0625597788618736</v>
      </c>
      <c r="H4016" t="n">
        <v>0.009838966577015201</v>
      </c>
      <c r="I4016" t="n">
        <v>0.6474632195005559</v>
      </c>
      <c r="J4016" t="n">
        <v>0.1405359184892908</v>
      </c>
      <c r="K4016" t="n">
        <v>0.1978600709876552</v>
      </c>
      <c r="L4016" t="b">
        <v>0</v>
      </c>
      <c r="M4016" t="b">
        <v>0</v>
      </c>
      <c r="N4016" t="inlineStr">
        <is>
          <t>alt</t>
        </is>
      </c>
      <c r="O4016" t="n">
        <v>-75</v>
      </c>
      <c r="P4016" t="n">
        <v>0.0046</v>
      </c>
      <c r="Q4016" t="n">
        <v>40</v>
      </c>
      <c r="R4016" t="n">
        <v>0.0457</v>
      </c>
      <c r="S4016">
        <f>IMAGE("https://mitra.stanford.edu/kundaje/oak/projects/neuro-variants/variant_position/credible/roussos_2024/variant_figures/roussos_2024.childhood.GLU/rs117423761_count_position.png",4,220,900)</f>
        <v/>
      </c>
      <c r="T4016">
        <f>IMAGE("https://mitra.stanford.edu/kundaje/oak/projects/neuro-variants/variant_position/credible/roussos_2024/variant_figures/roussos_2024.childhood.GLU/rs117423761_profile_position.png",4,220,900)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-0.08000908499999999</v>
      </c>
      <c r="G4017" t="n">
        <v>0.0784789155374279</v>
      </c>
      <c r="H4017" t="n">
        <v>0.015502325038405</v>
      </c>
      <c r="I4017" t="n">
        <v>0.2258279465261386</v>
      </c>
      <c r="J4017" t="n">
        <v>0.531085744897854</v>
      </c>
      <c r="K4017" t="n">
        <v>0.0368140016228606</v>
      </c>
      <c r="L4017" t="b">
        <v>0</v>
      </c>
      <c r="M4017" t="b">
        <v>0</v>
      </c>
      <c r="N4017" t="inlineStr">
        <is>
          <t>ref</t>
        </is>
      </c>
      <c r="O4017" t="n">
        <v>-15</v>
      </c>
      <c r="P4017" t="n">
        <v>0.0001011</v>
      </c>
      <c r="Q4017" t="n">
        <v>-75</v>
      </c>
      <c r="R4017" t="n">
        <v>0.083</v>
      </c>
      <c r="S4017">
        <f>IMAGE("https://mitra.stanford.edu/kundaje/oak/projects/neuro-variants/variant_position/credible/roussos_2024/variant_figures/roussos_2024.childhood.GLU/rs11136313_count_position.png",4,220,900)</f>
        <v/>
      </c>
      <c r="T4017">
        <f>IMAGE("https://mitra.stanford.edu/kundaje/oak/projects/neuro-variants/variant_position/credible/roussos_2024/variant_figures/roussos_2024.childhood.GLU/rs11136313_profile_position.png",4,220,900)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0.050799597</v>
      </c>
      <c r="G4018" t="n">
        <v>0.1691093590319314</v>
      </c>
      <c r="H4018" t="n">
        <v>0.0184236935648815</v>
      </c>
      <c r="I4018" t="n">
        <v>0.1346652557360697</v>
      </c>
      <c r="J4018" t="n">
        <v>0.1022912009230737</v>
      </c>
      <c r="K4018" t="n">
        <v>0.2413277876945595</v>
      </c>
      <c r="L4018" t="b">
        <v>0</v>
      </c>
      <c r="M4018" t="b">
        <v>0</v>
      </c>
      <c r="N4018" t="inlineStr">
        <is>
          <t>alt</t>
        </is>
      </c>
      <c r="O4018" t="n">
        <v>-100</v>
      </c>
      <c r="P4018" t="n">
        <v>0.001496</v>
      </c>
      <c r="Q4018" t="n">
        <v>35</v>
      </c>
      <c r="R4018" t="n">
        <v>0.1548</v>
      </c>
      <c r="S4018">
        <f>IMAGE("https://mitra.stanford.edu/kundaje/oak/projects/neuro-variants/variant_position/credible/roussos_2024/variant_figures/roussos_2024.childhood.GLU/rs10756010_count_position.png",4,220,900)</f>
        <v/>
      </c>
      <c r="T4018">
        <f>IMAGE("https://mitra.stanford.edu/kundaje/oak/projects/neuro-variants/variant_position/credible/roussos_2024/variant_figures/roussos_2024.childhood.GLU/rs10756010_profile_position.png",4,220,900)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-0.0277478797999999</v>
      </c>
      <c r="G4019" t="n">
        <v>0.3728408955214592</v>
      </c>
      <c r="H4019" t="n">
        <v>0.0207968920895143</v>
      </c>
      <c r="I4019" t="n">
        <v>0.0863803122629706</v>
      </c>
      <c r="J4019" t="n">
        <v>0.0884121277056053</v>
      </c>
      <c r="K4019" t="n">
        <v>0.2624827511803749</v>
      </c>
      <c r="L4019" t="b">
        <v>0</v>
      </c>
      <c r="M4019" t="b">
        <v>0</v>
      </c>
      <c r="N4019" t="inlineStr">
        <is>
          <t>ref</t>
        </is>
      </c>
      <c r="O4019" t="n">
        <v>-95</v>
      </c>
      <c r="P4019" t="n">
        <v>0.006145</v>
      </c>
      <c r="Q4019" t="n">
        <v>35</v>
      </c>
      <c r="R4019" t="n">
        <v>0.1326</v>
      </c>
      <c r="S4019">
        <f>IMAGE("https://mitra.stanford.edu/kundaje/oak/projects/neuro-variants/variant_position/credible/roussos_2024/variant_figures/roussos_2024.childhood.GLU/rs10958968_count_position.png",4,220,900)</f>
        <v/>
      </c>
      <c r="T4019">
        <f>IMAGE("https://mitra.stanford.edu/kundaje/oak/projects/neuro-variants/variant_position/credible/roussos_2024/variant_figures/roussos_2024.childhood.GLU/rs10958968_profile_position.png",4,220,900)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-0.0745495049999999</v>
      </c>
      <c r="G4020" t="n">
        <v>0.0920809582796779</v>
      </c>
      <c r="H4020" t="n">
        <v>0.0285408249027377</v>
      </c>
      <c r="I4020" t="n">
        <v>0.0256810183927434</v>
      </c>
      <c r="J4020" t="n">
        <v>0.0020346770787187</v>
      </c>
      <c r="K4020" t="n">
        <v>0.7635230021839291</v>
      </c>
      <c r="L4020" t="b">
        <v>0</v>
      </c>
      <c r="M4020" t="b">
        <v>0</v>
      </c>
      <c r="N4020" t="inlineStr">
        <is>
          <t>ref</t>
        </is>
      </c>
      <c r="O4020" t="n">
        <v>-60</v>
      </c>
      <c r="P4020" t="n">
        <v>0.001648</v>
      </c>
      <c r="Q4020" t="n">
        <v>65</v>
      </c>
      <c r="R4020" t="n">
        <v>0.0382</v>
      </c>
      <c r="S4020">
        <f>IMAGE("https://mitra.stanford.edu/kundaje/oak/projects/neuro-variants/variant_position/credible/roussos_2024/variant_figures/roussos_2024.childhood.GLU/rs12237121_count_position.png",4,220,900)</f>
        <v/>
      </c>
      <c r="T4020">
        <f>IMAGE("https://mitra.stanford.edu/kundaje/oak/projects/neuro-variants/variant_position/credible/roussos_2024/variant_figures/roussos_2024.childhood.GLU/rs12237121_profile_position.png",4,220,900)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0.02973315692</v>
      </c>
      <c r="G4021" t="n">
        <v>0.3343501851279795</v>
      </c>
      <c r="H4021" t="n">
        <v>0.0309045820181134</v>
      </c>
      <c r="I4021" t="n">
        <v>0.0188501361956417</v>
      </c>
      <c r="J4021" t="n">
        <v>0.0026352931480317</v>
      </c>
      <c r="K4021" t="n">
        <v>0.764674340813617</v>
      </c>
      <c r="L4021" t="b">
        <v>0</v>
      </c>
      <c r="M4021" t="b">
        <v>0</v>
      </c>
      <c r="N4021" t="inlineStr">
        <is>
          <t>alt</t>
        </is>
      </c>
      <c r="O4021" t="n">
        <v>-90</v>
      </c>
      <c r="P4021" t="n">
        <v>0.002861</v>
      </c>
      <c r="Q4021" t="n">
        <v>-65</v>
      </c>
      <c r="R4021" t="n">
        <v>0.06287</v>
      </c>
      <c r="S4021">
        <f>IMAGE("https://mitra.stanford.edu/kundaje/oak/projects/neuro-variants/variant_position/credible/roussos_2024/variant_figures/roussos_2024.childhood.GLU/rs7032426_count_position.png",4,220,900)</f>
        <v/>
      </c>
      <c r="T4021">
        <f>IMAGE("https://mitra.stanford.edu/kundaje/oak/projects/neuro-variants/variant_position/credible/roussos_2024/variant_figures/roussos_2024.childhood.GLU/rs7032426_profile_position.png",4,220,900)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-0.00610832904</v>
      </c>
      <c r="G4022" t="n">
        <v>0.791727715159258</v>
      </c>
      <c r="H4022" t="n">
        <v>0.017374120019477</v>
      </c>
      <c r="I4022" t="n">
        <v>0.1575126721835876</v>
      </c>
      <c r="J4022" t="n">
        <v>3.914821721079254e-05</v>
      </c>
      <c r="K4022" t="n">
        <v>0.9712052582457604</v>
      </c>
      <c r="L4022" t="b">
        <v>0</v>
      </c>
      <c r="M4022" t="b">
        <v>0</v>
      </c>
      <c r="N4022" t="inlineStr">
        <is>
          <t>ref</t>
        </is>
      </c>
      <c r="O4022" t="n">
        <v>-20</v>
      </c>
      <c r="P4022" t="n">
        <v>0.003792</v>
      </c>
      <c r="Q4022" t="n">
        <v>-10</v>
      </c>
      <c r="R4022" t="n">
        <v>0.02745</v>
      </c>
      <c r="S4022">
        <f>IMAGE("https://mitra.stanford.edu/kundaje/oak/projects/neuro-variants/variant_position/credible/roussos_2024/variant_figures/roussos_2024.childhood.GLU/rs1322146_count_position.png",4,220,900)</f>
        <v/>
      </c>
      <c r="T4022">
        <f>IMAGE("https://mitra.stanford.edu/kundaje/oak/projects/neuro-variants/variant_position/credible/roussos_2024/variant_figures/roussos_2024.childhood.GLU/rs1322146_profile_position.png",4,220,900)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-0.1340389682</v>
      </c>
      <c r="G4023" t="n">
        <v>0.0239007622264637</v>
      </c>
      <c r="H4023" t="n">
        <v>0.0316711659264229</v>
      </c>
      <c r="I4023" t="n">
        <v>0.0173632631451687</v>
      </c>
      <c r="J4023" t="n">
        <v>0.0117310723520866</v>
      </c>
      <c r="K4023" t="n">
        <v>0.5667442937597766</v>
      </c>
      <c r="L4023" t="b">
        <v>1</v>
      </c>
      <c r="M4023" t="b">
        <v>0</v>
      </c>
      <c r="N4023" t="inlineStr">
        <is>
          <t>ref</t>
        </is>
      </c>
      <c r="O4023" t="n">
        <v>-65</v>
      </c>
      <c r="P4023" t="n">
        <v>0.004425</v>
      </c>
      <c r="Q4023" t="n">
        <v>95</v>
      </c>
      <c r="R4023" t="n">
        <v>0.295</v>
      </c>
      <c r="S4023">
        <f>IMAGE("https://mitra.stanford.edu/kundaje/oak/projects/neuro-variants/variant_position/credible/roussos_2024/variant_figures/roussos_2024.childhood.GLU/rs686870_count_position.png",4,220,900)</f>
        <v/>
      </c>
      <c r="T4023">
        <f>IMAGE("https://mitra.stanford.edu/kundaje/oak/projects/neuro-variants/variant_position/credible/roussos_2024/variant_figures/roussos_2024.childhood.GLU/rs686870_profile_position.png",4,220,900)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0.009789571</v>
      </c>
      <c r="G4024" t="n">
        <v>0.4331587404312497</v>
      </c>
      <c r="H4024" t="n">
        <v>0.0126602240910962</v>
      </c>
      <c r="I4024" t="n">
        <v>0.3873862977819708</v>
      </c>
      <c r="J4024" t="n">
        <v>0.0064996342732338</v>
      </c>
      <c r="K4024" t="n">
        <v>0.6425521561492643</v>
      </c>
      <c r="L4024" t="b">
        <v>0</v>
      </c>
      <c r="M4024" t="b">
        <v>0</v>
      </c>
      <c r="N4024" t="inlineStr">
        <is>
          <t>alt</t>
        </is>
      </c>
      <c r="O4024" t="n">
        <v>-100</v>
      </c>
      <c r="P4024" t="n">
        <v>0.002571</v>
      </c>
      <c r="Q4024" t="n">
        <v>-100</v>
      </c>
      <c r="R4024" t="n">
        <v>0.0608</v>
      </c>
      <c r="S4024">
        <f>IMAGE("https://mitra.stanford.edu/kundaje/oak/projects/neuro-variants/variant_position/credible/roussos_2024/variant_figures/roussos_2024.childhood.GLU/rs1434479_count_position.png",4,220,900)</f>
        <v/>
      </c>
      <c r="T4024">
        <f>IMAGE("https://mitra.stanford.edu/kundaje/oak/projects/neuro-variants/variant_position/credible/roussos_2024/variant_figures/roussos_2024.childhood.GLU/rs1434479_profile_position.png",4,220,900)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0.108307636</v>
      </c>
      <c r="G4025" t="n">
        <v>0.0420799160803218</v>
      </c>
      <c r="H4025" t="n">
        <v>0.0187217522165364</v>
      </c>
      <c r="I4025" t="n">
        <v>0.1329469479246263</v>
      </c>
      <c r="J4025" t="n">
        <v>0.0814241709334789</v>
      </c>
      <c r="K4025" t="n">
        <v>0.2810449405946071</v>
      </c>
      <c r="L4025" t="b">
        <v>0</v>
      </c>
      <c r="M4025" t="b">
        <v>0</v>
      </c>
      <c r="N4025" t="inlineStr">
        <is>
          <t>alt</t>
        </is>
      </c>
      <c r="O4025" t="n">
        <v>-100</v>
      </c>
      <c r="P4025" t="n">
        <v>0.01727</v>
      </c>
      <c r="Q4025" t="n">
        <v>-95</v>
      </c>
      <c r="R4025" t="n">
        <v>0.0669</v>
      </c>
      <c r="S4025">
        <f>IMAGE("https://mitra.stanford.edu/kundaje/oak/projects/neuro-variants/variant_position/credible/roussos_2024/variant_figures/roussos_2024.childhood.GLU/rs10967473_count_position.png",4,220,900)</f>
        <v/>
      </c>
      <c r="T4025">
        <f>IMAGE("https://mitra.stanford.edu/kundaje/oak/projects/neuro-variants/variant_position/credible/roussos_2024/variant_figures/roussos_2024.childhood.GLU/rs10967473_profile_position.png",4,220,900)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0.0805615088</v>
      </c>
      <c r="G4026" t="n">
        <v>0.0715419883953916</v>
      </c>
      <c r="H4026" t="n">
        <v>0.0134011112982633</v>
      </c>
      <c r="I4026" t="n">
        <v>0.3340450778895522</v>
      </c>
      <c r="J4026" t="n">
        <v>0.1361132001607137</v>
      </c>
      <c r="K4026" t="n">
        <v>0.200987598830495</v>
      </c>
      <c r="L4026" t="b">
        <v>0</v>
      </c>
      <c r="M4026" t="b">
        <v>0</v>
      </c>
      <c r="N4026" t="inlineStr">
        <is>
          <t>alt</t>
        </is>
      </c>
      <c r="O4026" t="n">
        <v>60</v>
      </c>
      <c r="P4026" t="n">
        <v>0.009315</v>
      </c>
      <c r="Q4026" t="n">
        <v>55</v>
      </c>
      <c r="R4026" t="n">
        <v>0.06213</v>
      </c>
      <c r="S4026">
        <f>IMAGE("https://mitra.stanford.edu/kundaje/oak/projects/neuro-variants/variant_position/credible/roussos_2024/variant_figures/roussos_2024.childhood.GLU/rs7865569_count_position.png",4,220,900)</f>
        <v/>
      </c>
      <c r="T4026">
        <f>IMAGE("https://mitra.stanford.edu/kundaje/oak/projects/neuro-variants/variant_position/credible/roussos_2024/variant_figures/roussos_2024.childhood.GLU/rs7865569_profile_position.png",4,220,900)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-0.165115238</v>
      </c>
      <c r="G4027" t="n">
        <v>0.012936896372291</v>
      </c>
      <c r="H4027" t="n">
        <v>0.0230958724252332</v>
      </c>
      <c r="I4027" t="n">
        <v>0.0613148844106843</v>
      </c>
      <c r="J4027" t="n">
        <v>0.0149340146496749</v>
      </c>
      <c r="K4027" t="n">
        <v>0.5431848997540895</v>
      </c>
      <c r="L4027" t="b">
        <v>1</v>
      </c>
      <c r="M4027" t="b">
        <v>0</v>
      </c>
      <c r="N4027" t="inlineStr">
        <is>
          <t>ref</t>
        </is>
      </c>
      <c r="O4027" t="n">
        <v>-70</v>
      </c>
      <c r="P4027" t="n">
        <v>0.01793</v>
      </c>
      <c r="Q4027" t="n">
        <v>60</v>
      </c>
      <c r="R4027" t="n">
        <v>0.08655</v>
      </c>
      <c r="S4027">
        <f>IMAGE("https://mitra.stanford.edu/kundaje/oak/projects/neuro-variants/variant_position/credible/roussos_2024/variant_figures/roussos_2024.childhood.GLU/rs10972866_count_position.png",4,220,900)</f>
        <v/>
      </c>
      <c r="T4027">
        <f>IMAGE("https://mitra.stanford.edu/kundaje/oak/projects/neuro-variants/variant_position/credible/roussos_2024/variant_figures/roussos_2024.childhood.GLU/rs10972866_profile_position.png",4,220,900)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-0.123406865</v>
      </c>
      <c r="G4028" t="n">
        <v>0.0415619646528243</v>
      </c>
      <c r="H4028" t="n">
        <v>0.0517227411191</v>
      </c>
      <c r="I4028" t="n">
        <v>0.0027278126429832</v>
      </c>
      <c r="J4028" t="n">
        <v>0.2102042918808657</v>
      </c>
      <c r="K4028" t="n">
        <v>0.1428508593065027</v>
      </c>
      <c r="L4028" t="b">
        <v>1</v>
      </c>
      <c r="M4028" t="b">
        <v>1</v>
      </c>
      <c r="N4028" t="inlineStr">
        <is>
          <t>ref</t>
        </is>
      </c>
      <c r="O4028" t="n">
        <v>5</v>
      </c>
      <c r="P4028" t="n">
        <v>0.003174</v>
      </c>
      <c r="Q4028" t="n">
        <v>5</v>
      </c>
      <c r="R4028" t="n">
        <v>0.02539</v>
      </c>
      <c r="S4028">
        <f>IMAGE("https://mitra.stanford.edu/kundaje/oak/projects/neuro-variants/variant_position/credible/roussos_2024/variant_figures/roussos_2024.childhood.GLU/rs4144593_count_position.png",4,220,900)</f>
        <v/>
      </c>
      <c r="T4028">
        <f>IMAGE("https://mitra.stanford.edu/kundaje/oak/projects/neuro-variants/variant_position/credible/roussos_2024/variant_figures/roussos_2024.childhood.GLU/rs4144593_profile_position.png",4,220,900)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0.03827344094</v>
      </c>
      <c r="G4029" t="n">
        <v>0.2556695693962671</v>
      </c>
      <c r="H4029" t="n">
        <v>0.016805682069096</v>
      </c>
      <c r="I4029" t="n">
        <v>0.1843795234408579</v>
      </c>
      <c r="J4029" t="n">
        <v>0.0192155933530447</v>
      </c>
      <c r="K4029" t="n">
        <v>0.4962034249547965</v>
      </c>
      <c r="L4029" t="b">
        <v>0</v>
      </c>
      <c r="M4029" t="b">
        <v>0</v>
      </c>
      <c r="N4029" t="inlineStr">
        <is>
          <t>alt</t>
        </is>
      </c>
      <c r="O4029" t="n">
        <v>5</v>
      </c>
      <c r="P4029" t="n">
        <v>0.0003052</v>
      </c>
      <c r="Q4029" t="n">
        <v>100</v>
      </c>
      <c r="R4029" t="n">
        <v>0.07489999999999999</v>
      </c>
      <c r="S4029">
        <f>IMAGE("https://mitra.stanford.edu/kundaje/oak/projects/neuro-variants/variant_position/credible/roussos_2024/variant_figures/roussos_2024.childhood.GLU/rs10814385_count_position.png",4,220,900)</f>
        <v/>
      </c>
      <c r="T4029">
        <f>IMAGE("https://mitra.stanford.edu/kundaje/oak/projects/neuro-variants/variant_position/credible/roussos_2024/variant_figures/roussos_2024.childhood.GLU/rs10814385_profile_position.png",4,220,900)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0.0014907306199999</v>
      </c>
      <c r="G4030" t="n">
        <v>0.8346141172193732</v>
      </c>
      <c r="H4030" t="n">
        <v>0.0176037056413224</v>
      </c>
      <c r="I4030" t="n">
        <v>0.152262202947588</v>
      </c>
      <c r="J4030" t="n">
        <v>0.0465101424789062</v>
      </c>
      <c r="K4030" t="n">
        <v>0.3732376361756671</v>
      </c>
      <c r="L4030" t="b">
        <v>0</v>
      </c>
      <c r="M4030" t="b">
        <v>0</v>
      </c>
      <c r="N4030" t="inlineStr">
        <is>
          <t>alt</t>
        </is>
      </c>
      <c r="O4030" t="n">
        <v>100</v>
      </c>
      <c r="P4030" t="n">
        <v>0.004974</v>
      </c>
      <c r="Q4030" t="n">
        <v>100</v>
      </c>
      <c r="R4030" t="n">
        <v>0.073</v>
      </c>
      <c r="S4030">
        <f>IMAGE("https://mitra.stanford.edu/kundaje/oak/projects/neuro-variants/variant_position/credible/roussos_2024/variant_figures/roussos_2024.childhood.GLU/rs2483657_count_position.png",4,220,900)</f>
        <v/>
      </c>
      <c r="T4030">
        <f>IMAGE("https://mitra.stanford.edu/kundaje/oak/projects/neuro-variants/variant_position/credible/roussos_2024/variant_figures/roussos_2024.childhood.GLU/rs2483657_profile_position.png",4,220,900)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-0.0183765748</v>
      </c>
      <c r="G4031" t="n">
        <v>0.4979967464641454</v>
      </c>
      <c r="H4031" t="n">
        <v>0.0364490161526075</v>
      </c>
      <c r="I4031" t="n">
        <v>0.009547093334246699</v>
      </c>
      <c r="J4031" t="n">
        <v>0.0061833578868203</v>
      </c>
      <c r="K4031" t="n">
        <v>0.64280252000809</v>
      </c>
      <c r="L4031" t="b">
        <v>0</v>
      </c>
      <c r="M4031" t="b">
        <v>0</v>
      </c>
      <c r="N4031" t="inlineStr">
        <is>
          <t>ref</t>
        </is>
      </c>
      <c r="O4031" t="n">
        <v>-85</v>
      </c>
      <c r="P4031" t="n">
        <v>0.02234</v>
      </c>
      <c r="Q4031" t="n">
        <v>-20</v>
      </c>
      <c r="R4031" t="n">
        <v>0.02844</v>
      </c>
      <c r="S4031">
        <f>IMAGE("https://mitra.stanford.edu/kundaje/oak/projects/neuro-variants/variant_position/credible/roussos_2024/variant_figures/roussos_2024.childhood.GLU/rs4446808_count_position.png",4,220,900)</f>
        <v/>
      </c>
      <c r="T4031">
        <f>IMAGE("https://mitra.stanford.edu/kundaje/oak/projects/neuro-variants/variant_position/credible/roussos_2024/variant_figures/roussos_2024.childhood.GLU/rs4446808_profile_position.png",4,220,900)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-0.1299672492</v>
      </c>
      <c r="G4032" t="n">
        <v>0.0250786583025959</v>
      </c>
      <c r="H4032" t="n">
        <v>0.0204869755626351</v>
      </c>
      <c r="I4032" t="n">
        <v>0.0936592950257973</v>
      </c>
      <c r="J4032" t="n">
        <v>0.1230727229645502</v>
      </c>
      <c r="K4032" t="n">
        <v>0.2157907182906548</v>
      </c>
      <c r="L4032" t="b">
        <v>0</v>
      </c>
      <c r="M4032" t="b">
        <v>0</v>
      </c>
      <c r="N4032" t="inlineStr">
        <is>
          <t>ref</t>
        </is>
      </c>
      <c r="O4032" t="n">
        <v>95</v>
      </c>
      <c r="P4032" t="n">
        <v>0.002167</v>
      </c>
      <c r="Q4032" t="n">
        <v>95</v>
      </c>
      <c r="R4032" t="n">
        <v>0.1643</v>
      </c>
      <c r="S4032">
        <f>IMAGE("https://mitra.stanford.edu/kundaje/oak/projects/neuro-variants/variant_position/credible/roussos_2024/variant_figures/roussos_2024.childhood.GLU/rs6476556_count_position.png",4,220,900)</f>
        <v/>
      </c>
      <c r="T4032">
        <f>IMAGE("https://mitra.stanford.edu/kundaje/oak/projects/neuro-variants/variant_position/credible/roussos_2024/variant_figures/roussos_2024.childhood.GLU/rs6476556_profile_position.png",4,220,900)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0.0015136216399999</v>
      </c>
      <c r="G4033" t="n">
        <v>0.6078889375052081</v>
      </c>
      <c r="H4033" t="n">
        <v>0.0103527236997214</v>
      </c>
      <c r="I4033" t="n">
        <v>0.6286170484643235</v>
      </c>
      <c r="J4033" t="n">
        <v>0.3764657401588593</v>
      </c>
      <c r="K4033" t="n">
        <v>0.070704221880422</v>
      </c>
      <c r="L4033" t="b">
        <v>0</v>
      </c>
      <c r="M4033" t="b">
        <v>0</v>
      </c>
      <c r="N4033" t="inlineStr">
        <is>
          <t>alt</t>
        </is>
      </c>
      <c r="O4033" t="n">
        <v>-80</v>
      </c>
      <c r="P4033" t="n">
        <v>0.03384</v>
      </c>
      <c r="Q4033" t="n">
        <v>-80</v>
      </c>
      <c r="R4033" t="n">
        <v>0.3054</v>
      </c>
      <c r="S4033">
        <f>IMAGE("https://mitra.stanford.edu/kundaje/oak/projects/neuro-variants/variant_position/credible/roussos_2024/variant_figures/roussos_2024.childhood.GLU/rs7856743_count_position.png",4,220,900)</f>
        <v/>
      </c>
      <c r="T4033">
        <f>IMAGE("https://mitra.stanford.edu/kundaje/oak/projects/neuro-variants/variant_position/credible/roussos_2024/variant_figures/roussos_2024.childhood.GLU/rs7856743_profile_position.png",4,220,900)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-0.08068808800000001</v>
      </c>
      <c r="G4034" t="n">
        <v>0.0853983944974688</v>
      </c>
      <c r="H4034" t="n">
        <v>0.0316250105633449</v>
      </c>
      <c r="I4034" t="n">
        <v>0.018335707652046</v>
      </c>
      <c r="J4034" t="n">
        <v>0.0445980611330317</v>
      </c>
      <c r="K4034" t="n">
        <v>0.3724757223457416</v>
      </c>
      <c r="L4034" t="b">
        <v>1</v>
      </c>
      <c r="M4034" t="b">
        <v>0</v>
      </c>
      <c r="N4034" t="inlineStr">
        <is>
          <t>ref</t>
        </is>
      </c>
      <c r="O4034" t="n">
        <v>-20</v>
      </c>
      <c r="P4034" t="n">
        <v>0.00505</v>
      </c>
      <c r="Q4034" t="n">
        <v>30</v>
      </c>
      <c r="R4034" t="n">
        <v>0.042</v>
      </c>
      <c r="S4034">
        <f>IMAGE("https://mitra.stanford.edu/kundaje/oak/projects/neuro-variants/variant_position/credible/roussos_2024/variant_figures/roussos_2024.childhood.GLU/rs11138693_count_position.png",4,220,900)</f>
        <v/>
      </c>
      <c r="T4034">
        <f>IMAGE("https://mitra.stanford.edu/kundaje/oak/projects/neuro-variants/variant_position/credible/roussos_2024/variant_figures/roussos_2024.childhood.GLU/rs11138693_profile_position.png",4,220,900)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0.00038744862</v>
      </c>
      <c r="G4035" t="n">
        <v>0.8206542987521029</v>
      </c>
      <c r="H4035" t="n">
        <v>0.0206932176730037</v>
      </c>
      <c r="I4035" t="n">
        <v>0.08790465830172781</v>
      </c>
      <c r="J4035" t="n">
        <v>0.0111984505547714</v>
      </c>
      <c r="K4035" t="n">
        <v>0.5708840231499331</v>
      </c>
      <c r="L4035" t="b">
        <v>0</v>
      </c>
      <c r="M4035" t="b">
        <v>0</v>
      </c>
      <c r="N4035" t="inlineStr">
        <is>
          <t>alt</t>
        </is>
      </c>
      <c r="O4035" t="n">
        <v>-40</v>
      </c>
      <c r="P4035" t="n">
        <v>0.0007973</v>
      </c>
      <c r="Q4035" t="n">
        <v>100</v>
      </c>
      <c r="R4035" t="n">
        <v>0.1576</v>
      </c>
      <c r="S4035">
        <f>IMAGE("https://mitra.stanford.edu/kundaje/oak/projects/neuro-variants/variant_position/credible/roussos_2024/variant_figures/roussos_2024.childhood.GLU/rs10867555_count_position.png",4,220,900)</f>
        <v/>
      </c>
      <c r="T4035">
        <f>IMAGE("https://mitra.stanford.edu/kundaje/oak/projects/neuro-variants/variant_position/credible/roussos_2024/variant_figures/roussos_2024.childhood.GLU/rs10867555_profile_position.png",4,220,900)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-0.0507818758</v>
      </c>
      <c r="G4036" t="n">
        <v>0.1780142975241302</v>
      </c>
      <c r="H4036" t="n">
        <v>0.0112700227654884</v>
      </c>
      <c r="I4036" t="n">
        <v>0.5172527458571082</v>
      </c>
      <c r="J4036" t="n">
        <v>0.0004584462278631</v>
      </c>
      <c r="K4036" t="n">
        <v>0.8941142356802669</v>
      </c>
      <c r="L4036" t="b">
        <v>0</v>
      </c>
      <c r="M4036" t="b">
        <v>0</v>
      </c>
      <c r="N4036" t="inlineStr">
        <is>
          <t>ref</t>
        </is>
      </c>
      <c r="O4036" t="n">
        <v>80</v>
      </c>
      <c r="P4036" t="n">
        <v>0.00335</v>
      </c>
      <c r="Q4036" t="n">
        <v>-100</v>
      </c>
      <c r="R4036" t="n">
        <v>0.0892</v>
      </c>
      <c r="S4036">
        <f>IMAGE("https://mitra.stanford.edu/kundaje/oak/projects/neuro-variants/variant_position/credible/roussos_2024/variant_figures/roussos_2024.childhood.GLU/rs11138702_count_position.png",4,220,900)</f>
        <v/>
      </c>
      <c r="T4036">
        <f>IMAGE("https://mitra.stanford.edu/kundaje/oak/projects/neuro-variants/variant_position/credible/roussos_2024/variant_figures/roussos_2024.childhood.GLU/rs11138702_profile_position.png",4,220,900)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-0.0176906818</v>
      </c>
      <c r="G4037" t="n">
        <v>0.5058400606727316</v>
      </c>
      <c r="H4037" t="n">
        <v>0.010954786751234</v>
      </c>
      <c r="I4037" t="n">
        <v>0.5596783584091226</v>
      </c>
      <c r="J4037" t="n">
        <v>0.2372824955958255</v>
      </c>
      <c r="K4037" t="n">
        <v>0.1268146984062791</v>
      </c>
      <c r="L4037" t="b">
        <v>0</v>
      </c>
      <c r="M4037" t="b">
        <v>0</v>
      </c>
      <c r="N4037" t="inlineStr">
        <is>
          <t>ref</t>
        </is>
      </c>
      <c r="O4037" t="n">
        <v>-100</v>
      </c>
      <c r="P4037" t="n">
        <v>0.02644</v>
      </c>
      <c r="Q4037" t="n">
        <v>-100</v>
      </c>
      <c r="R4037" t="n">
        <v>0.236</v>
      </c>
      <c r="S4037">
        <f>IMAGE("https://mitra.stanford.edu/kundaje/oak/projects/neuro-variants/variant_position/credible/roussos_2024/variant_figures/roussos_2024.childhood.GLU/rs145585805_count_position.png",4,220,900)</f>
        <v/>
      </c>
      <c r="T4037">
        <f>IMAGE("https://mitra.stanford.edu/kundaje/oak/projects/neuro-variants/variant_position/credible/roussos_2024/variant_figures/roussos_2024.childhood.GLU/rs145585805_profile_position.png",4,220,900)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0.0409085278</v>
      </c>
      <c r="G4038" t="n">
        <v>0.230720388710431</v>
      </c>
      <c r="H4038" t="n">
        <v>0.0164599930045464</v>
      </c>
      <c r="I4038" t="n">
        <v>0.1870647470738777</v>
      </c>
      <c r="J4038" t="n">
        <v>0.0199686814262313</v>
      </c>
      <c r="K4038" t="n">
        <v>0.4962652159970737</v>
      </c>
      <c r="L4038" t="b">
        <v>0</v>
      </c>
      <c r="M4038" t="b">
        <v>0</v>
      </c>
      <c r="N4038" t="inlineStr">
        <is>
          <t>alt</t>
        </is>
      </c>
      <c r="O4038" t="n">
        <v>-55</v>
      </c>
      <c r="P4038" t="n">
        <v>0.008160000000000001</v>
      </c>
      <c r="Q4038" t="n">
        <v>-55</v>
      </c>
      <c r="R4038" t="n">
        <v>0.07335999999999999</v>
      </c>
      <c r="S4038">
        <f>IMAGE("https://mitra.stanford.edu/kundaje/oak/projects/neuro-variants/variant_position/credible/roussos_2024/variant_figures/roussos_2024.childhood.GLU/rs7853639_count_position.png",4,220,900)</f>
        <v/>
      </c>
      <c r="T4038">
        <f>IMAGE("https://mitra.stanford.edu/kundaje/oak/projects/neuro-variants/variant_position/credible/roussos_2024/variant_figures/roussos_2024.childhood.GLU/rs7853639_profile_position.png",4,220,900)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-0.08512503740000001</v>
      </c>
      <c r="G4039" t="n">
        <v>0.0715106837548614</v>
      </c>
      <c r="H4039" t="n">
        <v>0.0139560775317338</v>
      </c>
      <c r="I4039" t="n">
        <v>0.3051587978152197</v>
      </c>
      <c r="J4039" t="n">
        <v>0.1244995724602593</v>
      </c>
      <c r="K4039" t="n">
        <v>0.2152504528390053</v>
      </c>
      <c r="L4039" t="b">
        <v>0</v>
      </c>
      <c r="M4039" t="b">
        <v>0</v>
      </c>
      <c r="N4039" t="inlineStr">
        <is>
          <t>ref</t>
        </is>
      </c>
      <c r="O4039" t="n">
        <v>60</v>
      </c>
      <c r="P4039" t="n">
        <v>0.02954</v>
      </c>
      <c r="Q4039" t="n">
        <v>30</v>
      </c>
      <c r="R4039" t="n">
        <v>0.1123</v>
      </c>
      <c r="S4039">
        <f>IMAGE("https://mitra.stanford.edu/kundaje/oak/projects/neuro-variants/variant_position/credible/roussos_2024/variant_figures/roussos_2024.childhood.GLU/rs11139500_count_position.png",4,220,900)</f>
        <v/>
      </c>
      <c r="T4039">
        <f>IMAGE("https://mitra.stanford.edu/kundaje/oak/projects/neuro-variants/variant_position/credible/roussos_2024/variant_figures/roussos_2024.childhood.GLU/rs11139500_profile_position.png",4,220,900)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-0.0161104942</v>
      </c>
      <c r="G4040" t="n">
        <v>0.4387286155447383</v>
      </c>
      <c r="H4040" t="n">
        <v>0.0151118303937053</v>
      </c>
      <c r="I4040" t="n">
        <v>0.2467156609825853</v>
      </c>
      <c r="J4040" t="n">
        <v>0.0201809059721635</v>
      </c>
      <c r="K4040" t="n">
        <v>0.4851544690587367</v>
      </c>
      <c r="L4040" t="b">
        <v>0</v>
      </c>
      <c r="M4040" t="b">
        <v>0</v>
      </c>
      <c r="N4040" t="inlineStr">
        <is>
          <t>ref</t>
        </is>
      </c>
      <c r="O4040" t="n">
        <v>100</v>
      </c>
      <c r="P4040" t="n">
        <v>0.009155</v>
      </c>
      <c r="Q4040" t="n">
        <v>100</v>
      </c>
      <c r="R4040" t="n">
        <v>0.201</v>
      </c>
      <c r="S4040">
        <f>IMAGE("https://mitra.stanford.edu/kundaje/oak/projects/neuro-variants/variant_position/credible/roussos_2024/variant_figures/roussos_2024.childhood.GLU/rs1409880_count_position.png",4,220,900)</f>
        <v/>
      </c>
      <c r="T4040">
        <f>IMAGE("https://mitra.stanford.edu/kundaje/oak/projects/neuro-variants/variant_position/credible/roussos_2024/variant_figures/roussos_2024.childhood.GLU/rs1409880_profile_position.png",4,220,900)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-0.0381951756</v>
      </c>
      <c r="G4041" t="n">
        <v>0.2630075568775135</v>
      </c>
      <c r="H4041" t="n">
        <v>0.009623147731976599</v>
      </c>
      <c r="I4041" t="n">
        <v>0.7015259743174651</v>
      </c>
      <c r="J4041" t="n">
        <v>0.0030360472663211</v>
      </c>
      <c r="K4041" t="n">
        <v>0.7293609585079234</v>
      </c>
      <c r="L4041" t="b">
        <v>0</v>
      </c>
      <c r="M4041" t="b">
        <v>0</v>
      </c>
      <c r="N4041" t="inlineStr">
        <is>
          <t>ref</t>
        </is>
      </c>
      <c r="O4041" t="n">
        <v>30</v>
      </c>
      <c r="P4041" t="n">
        <v>0.00975</v>
      </c>
      <c r="Q4041" t="n">
        <v>55</v>
      </c>
      <c r="R4041" t="n">
        <v>0.06616</v>
      </c>
      <c r="S4041">
        <f>IMAGE("https://mitra.stanford.edu/kundaje/oak/projects/neuro-variants/variant_position/credible/roussos_2024/variant_figures/roussos_2024.childhood.GLU/rs2788116_count_position.png",4,220,900)</f>
        <v/>
      </c>
      <c r="T4041">
        <f>IMAGE("https://mitra.stanford.edu/kundaje/oak/projects/neuro-variants/variant_position/credible/roussos_2024/variant_figures/roussos_2024.childhood.GLU/rs2788116_profile_position.png",4,220,900)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-0.0349213699999999</v>
      </c>
      <c r="G4042" t="n">
        <v>0.2862803028313889</v>
      </c>
      <c r="H4042" t="n">
        <v>0.0100100337024253</v>
      </c>
      <c r="I4042" t="n">
        <v>0.6534315753159847</v>
      </c>
      <c r="J4042" t="n">
        <v>0.0061060916686412</v>
      </c>
      <c r="K4042" t="n">
        <v>0.6705915387499287</v>
      </c>
      <c r="L4042" t="b">
        <v>0</v>
      </c>
      <c r="M4042" t="b">
        <v>0</v>
      </c>
      <c r="N4042" t="inlineStr">
        <is>
          <t>ref</t>
        </is>
      </c>
      <c r="O4042" t="n">
        <v>75</v>
      </c>
      <c r="P4042" t="n">
        <v>0.003754</v>
      </c>
      <c r="Q4042" t="n">
        <v>-80</v>
      </c>
      <c r="R4042" t="n">
        <v>0.0712</v>
      </c>
      <c r="S4042">
        <f>IMAGE("https://mitra.stanford.edu/kundaje/oak/projects/neuro-variants/variant_position/credible/roussos_2024/variant_figures/roussos_2024.childhood.GLU/rs2767717_count_position.png",4,220,900)</f>
        <v/>
      </c>
      <c r="T4042">
        <f>IMAGE("https://mitra.stanford.edu/kundaje/oak/projects/neuro-variants/variant_position/credible/roussos_2024/variant_figures/roussos_2024.childhood.GLU/rs2767717_profile_position.png",4,220,900)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-0.0015471801399999</v>
      </c>
      <c r="G4043" t="n">
        <v>0.3532145472316816</v>
      </c>
      <c r="H4043" t="n">
        <v>0.0133184655202924</v>
      </c>
      <c r="I4043" t="n">
        <v>0.3494465211352504</v>
      </c>
      <c r="J4043" t="n">
        <v>0.001860570533755</v>
      </c>
      <c r="K4043" t="n">
        <v>0.7844599572273721</v>
      </c>
      <c r="L4043" t="b">
        <v>0</v>
      </c>
      <c r="M4043" t="b">
        <v>0</v>
      </c>
      <c r="N4043" t="inlineStr">
        <is>
          <t>ref</t>
        </is>
      </c>
      <c r="O4043" t="n">
        <v>95</v>
      </c>
      <c r="P4043" t="n">
        <v>0.01136</v>
      </c>
      <c r="Q4043" t="n">
        <v>100</v>
      </c>
      <c r="R4043" t="n">
        <v>0.1167</v>
      </c>
      <c r="S4043">
        <f>IMAGE("https://mitra.stanford.edu/kundaje/oak/projects/neuro-variants/variant_position/credible/roussos_2024/variant_figures/roussos_2024.childhood.GLU/rs2767715_count_position.png",4,220,900)</f>
        <v/>
      </c>
      <c r="T4043">
        <f>IMAGE("https://mitra.stanford.edu/kundaje/oak/projects/neuro-variants/variant_position/credible/roussos_2024/variant_figures/roussos_2024.childhood.GLU/rs2767715_profile_position.png",4,220,900)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-0.1746105959999999</v>
      </c>
      <c r="G4044" t="n">
        <v>0.0160095694242751</v>
      </c>
      <c r="H4044" t="n">
        <v>0.0375971152458474</v>
      </c>
      <c r="I4044" t="n">
        <v>0.0103707123104483</v>
      </c>
      <c r="J4044" t="n">
        <v>0.0935766017287028</v>
      </c>
      <c r="K4044" t="n">
        <v>0.2560443882213274</v>
      </c>
      <c r="L4044" t="b">
        <v>1</v>
      </c>
      <c r="M4044" t="b">
        <v>0</v>
      </c>
      <c r="N4044" t="inlineStr">
        <is>
          <t>ref</t>
        </is>
      </c>
      <c r="O4044" t="n">
        <v>-40</v>
      </c>
      <c r="P4044" t="n">
        <v>0.0097</v>
      </c>
      <c r="Q4044" t="n">
        <v>-75</v>
      </c>
      <c r="R4044" t="n">
        <v>0.0481</v>
      </c>
      <c r="S4044">
        <f>IMAGE("https://mitra.stanford.edu/kundaje/oak/projects/neuro-variants/variant_position/credible/roussos_2024/variant_figures/roussos_2024.childhood.GLU/rs2767713_count_position.png",4,220,900)</f>
        <v/>
      </c>
      <c r="T4044">
        <f>IMAGE("https://mitra.stanford.edu/kundaje/oak/projects/neuro-variants/variant_position/credible/roussos_2024/variant_figures/roussos_2024.childhood.GLU/rs2767713_profile_position.png",4,220,900)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-0.01098511312</v>
      </c>
      <c r="G4045" t="n">
        <v>0.6060423530136705</v>
      </c>
      <c r="H4045" t="n">
        <v>0.009813087658591801</v>
      </c>
      <c r="I4045" t="n">
        <v>0.6793683299838918</v>
      </c>
      <c r="J4045" t="n">
        <v>0.0015752006346131</v>
      </c>
      <c r="K4045" t="n">
        <v>0.7867171902583311</v>
      </c>
      <c r="L4045" t="b">
        <v>0</v>
      </c>
      <c r="M4045" t="b">
        <v>0</v>
      </c>
      <c r="N4045" t="inlineStr">
        <is>
          <t>ref</t>
        </is>
      </c>
      <c r="O4045" t="n">
        <v>-25</v>
      </c>
      <c r="P4045" t="n">
        <v>0.005157</v>
      </c>
      <c r="Q4045" t="n">
        <v>90</v>
      </c>
      <c r="R4045" t="n">
        <v>0.05844</v>
      </c>
      <c r="S4045">
        <f>IMAGE("https://mitra.stanford.edu/kundaje/oak/projects/neuro-variants/variant_position/credible/roussos_2024/variant_figures/roussos_2024.childhood.GLU/rs1933580_count_position.png",4,220,900)</f>
        <v/>
      </c>
      <c r="T4045">
        <f>IMAGE("https://mitra.stanford.edu/kundaje/oak/projects/neuro-variants/variant_position/credible/roussos_2024/variant_figures/roussos_2024.childhood.GLU/rs1933580_profile_position.png",4,220,900)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0.0416925918</v>
      </c>
      <c r="G4046" t="n">
        <v>0.227065622082292</v>
      </c>
      <c r="H4046" t="n">
        <v>0.0146735712516457</v>
      </c>
      <c r="I4046" t="n">
        <v>0.2633299454171214</v>
      </c>
      <c r="J4046" t="n">
        <v>0.0177454747751552</v>
      </c>
      <c r="K4046" t="n">
        <v>0.5198095180972417</v>
      </c>
      <c r="L4046" t="b">
        <v>0</v>
      </c>
      <c r="M4046" t="b">
        <v>0</v>
      </c>
      <c r="N4046" t="inlineStr">
        <is>
          <t>alt</t>
        </is>
      </c>
      <c r="O4046" t="n">
        <v>-70</v>
      </c>
      <c r="P4046" t="n">
        <v>0.005516</v>
      </c>
      <c r="Q4046" t="n">
        <v>-100</v>
      </c>
      <c r="R4046" t="n">
        <v>0.08215</v>
      </c>
      <c r="S4046">
        <f>IMAGE("https://mitra.stanford.edu/kundaje/oak/projects/neuro-variants/variant_position/credible/roussos_2024/variant_figures/roussos_2024.childhood.GLU/rs1330834_count_position.png",4,220,900)</f>
        <v/>
      </c>
      <c r="T4046">
        <f>IMAGE("https://mitra.stanford.edu/kundaje/oak/projects/neuro-variants/variant_position/credible/roussos_2024/variant_figures/roussos_2024.childhood.GLU/rs1330834_profile_position.png",4,220,900)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-0.06418045</v>
      </c>
      <c r="G4047" t="n">
        <v>0.1172646568360482</v>
      </c>
      <c r="H4047" t="n">
        <v>0.0210671020119357</v>
      </c>
      <c r="I4047" t="n">
        <v>0.0861539334003999</v>
      </c>
      <c r="J4047" t="n">
        <v>0.033025642082273</v>
      </c>
      <c r="K4047" t="n">
        <v>0.4226924863410488</v>
      </c>
      <c r="L4047" t="b">
        <v>0</v>
      </c>
      <c r="M4047" t="b">
        <v>0</v>
      </c>
      <c r="N4047" t="inlineStr">
        <is>
          <t>ref</t>
        </is>
      </c>
      <c r="O4047" t="n">
        <v>5</v>
      </c>
      <c r="P4047" t="n">
        <v>0.0006256</v>
      </c>
      <c r="Q4047" t="n">
        <v>-45</v>
      </c>
      <c r="R4047" t="n">
        <v>0.01587</v>
      </c>
      <c r="S4047">
        <f>IMAGE("https://mitra.stanford.edu/kundaje/oak/projects/neuro-variants/variant_position/credible/roussos_2024/variant_figures/roussos_2024.childhood.GLU/rs4877231_count_position.png",4,220,900)</f>
        <v/>
      </c>
      <c r="T4047">
        <f>IMAGE("https://mitra.stanford.edu/kundaje/oak/projects/neuro-variants/variant_position/credible/roussos_2024/variant_figures/roussos_2024.childhood.GLU/rs4877231_profile_position.png",4,220,900)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-0.0656391816</v>
      </c>
      <c r="G4048" t="n">
        <v>0.116543205628219</v>
      </c>
      <c r="H4048" t="n">
        <v>0.0159277685824763</v>
      </c>
      <c r="I4048" t="n">
        <v>0.2345255263170972</v>
      </c>
      <c r="J4048" t="n">
        <v>0.0034254690059442</v>
      </c>
      <c r="K4048" t="n">
        <v>0.7170631246000827</v>
      </c>
      <c r="L4048" t="b">
        <v>0</v>
      </c>
      <c r="M4048" t="b">
        <v>0</v>
      </c>
      <c r="N4048" t="inlineStr">
        <is>
          <t>ref</t>
        </is>
      </c>
      <c r="O4048" t="n">
        <v>-30</v>
      </c>
      <c r="P4048" t="n">
        <v>0.0003548</v>
      </c>
      <c r="Q4048" t="n">
        <v>70</v>
      </c>
      <c r="R4048" t="n">
        <v>0.11926</v>
      </c>
      <c r="S4048">
        <f>IMAGE("https://mitra.stanford.edu/kundaje/oak/projects/neuro-variants/variant_position/credible/roussos_2024/variant_figures/roussos_2024.childhood.GLU/rs7848263_count_position.png",4,220,900)</f>
        <v/>
      </c>
      <c r="T4048">
        <f>IMAGE("https://mitra.stanford.edu/kundaje/oak/projects/neuro-variants/variant_position/credible/roussos_2024/variant_figures/roussos_2024.childhood.GLU/rs7848263_profile_position.png",4,220,900)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-0.161522078</v>
      </c>
      <c r="G4049" t="n">
        <v>0.0137211157589019</v>
      </c>
      <c r="H4049" t="n">
        <v>0.0389369575317777</v>
      </c>
      <c r="I4049" t="n">
        <v>0.0075387615890189</v>
      </c>
      <c r="J4049" t="n">
        <v>0.0102578631254699</v>
      </c>
      <c r="K4049" t="n">
        <v>0.593765355440479</v>
      </c>
      <c r="L4049" t="b">
        <v>1</v>
      </c>
      <c r="M4049" t="b">
        <v>0</v>
      </c>
      <c r="N4049" t="inlineStr">
        <is>
          <t>ref</t>
        </is>
      </c>
      <c r="O4049" t="n">
        <v>75</v>
      </c>
      <c r="P4049" t="n">
        <v>0.02094</v>
      </c>
      <c r="Q4049" t="n">
        <v>90</v>
      </c>
      <c r="R4049" t="n">
        <v>0.07275</v>
      </c>
      <c r="S4049">
        <f>IMAGE("https://mitra.stanford.edu/kundaje/oak/projects/neuro-variants/variant_position/credible/roussos_2024/variant_figures/roussos_2024.childhood.GLU/rs7020546_count_position.png",4,220,900)</f>
        <v/>
      </c>
      <c r="T4049">
        <f>IMAGE("https://mitra.stanford.edu/kundaje/oak/projects/neuro-variants/variant_position/credible/roussos_2024/variant_figures/roussos_2024.childhood.GLU/rs7020546_profile_position.png",4,220,900)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-0.0248448439999999</v>
      </c>
      <c r="G4050" t="n">
        <v>0.2532766427954853</v>
      </c>
      <c r="H4050" t="n">
        <v>0.0144786923820806</v>
      </c>
      <c r="I4050" t="n">
        <v>0.282181956164319</v>
      </c>
      <c r="J4050" t="n">
        <v>0.0041929801065243</v>
      </c>
      <c r="K4050" t="n">
        <v>0.6923398498237968</v>
      </c>
      <c r="L4050" t="b">
        <v>0</v>
      </c>
      <c r="M4050" t="b">
        <v>0</v>
      </c>
      <c r="N4050" t="inlineStr">
        <is>
          <t>ref</t>
        </is>
      </c>
      <c r="O4050" t="n">
        <v>55</v>
      </c>
      <c r="P4050" t="n">
        <v>0.01322</v>
      </c>
      <c r="Q4050" t="n">
        <v>60</v>
      </c>
      <c r="R4050" t="n">
        <v>0.08400000000000001</v>
      </c>
      <c r="S4050">
        <f>IMAGE("https://mitra.stanford.edu/kundaje/oak/projects/neuro-variants/variant_position/credible/roussos_2024/variant_figures/roussos_2024.childhood.GLU/rs80020015_count_position.png",4,220,900)</f>
        <v/>
      </c>
      <c r="T4050">
        <f>IMAGE("https://mitra.stanford.edu/kundaje/oak/projects/neuro-variants/variant_position/credible/roussos_2024/variant_figures/roussos_2024.childhood.GLU/rs80020015_profile_position.png",4,220,900)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-0.201213236</v>
      </c>
      <c r="G4051" t="n">
        <v>0.0074841117775253</v>
      </c>
      <c r="H4051" t="n">
        <v>0.0272477450858146</v>
      </c>
      <c r="I4051" t="n">
        <v>0.0366290250152088</v>
      </c>
      <c r="J4051" t="n">
        <v>0.0044546550320911</v>
      </c>
      <c r="K4051" t="n">
        <v>0.6930004531491146</v>
      </c>
      <c r="L4051" t="b">
        <v>1</v>
      </c>
      <c r="M4051" t="b">
        <v>1</v>
      </c>
      <c r="N4051" t="inlineStr">
        <is>
          <t>ref</t>
        </is>
      </c>
      <c r="O4051" t="n">
        <v>-50</v>
      </c>
      <c r="P4051" t="n">
        <v>0.001709</v>
      </c>
      <c r="Q4051" t="n">
        <v>-50</v>
      </c>
      <c r="R4051" t="n">
        <v>0.02417</v>
      </c>
      <c r="S4051">
        <f>IMAGE("https://mitra.stanford.edu/kundaje/oak/projects/neuro-variants/variant_position/credible/roussos_2024/variant_figures/roussos_2024.childhood.GLU/rs10113923_count_position.png",4,220,900)</f>
        <v/>
      </c>
      <c r="T4051">
        <f>IMAGE("https://mitra.stanford.edu/kundaje/oak/projects/neuro-variants/variant_position/credible/roussos_2024/variant_figures/roussos_2024.childhood.GLU/rs10113923_profile_position.png",4,220,900)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-0.0451077198</v>
      </c>
      <c r="G4052" t="n">
        <v>0.212584995020955</v>
      </c>
      <c r="H4052" t="n">
        <v>0.0103184049668221</v>
      </c>
      <c r="I4052" t="n">
        <v>0.6092829804804802</v>
      </c>
      <c r="J4052" t="n">
        <v>0.0057733318223494</v>
      </c>
      <c r="K4052" t="n">
        <v>0.6573913807761157</v>
      </c>
      <c r="L4052" t="b">
        <v>0</v>
      </c>
      <c r="M4052" t="b">
        <v>0</v>
      </c>
      <c r="N4052" t="inlineStr">
        <is>
          <t>ref</t>
        </is>
      </c>
      <c r="O4052" t="n">
        <v>15</v>
      </c>
      <c r="P4052" t="n">
        <v>0.0003052</v>
      </c>
      <c r="Q4052" t="n">
        <v>65</v>
      </c>
      <c r="R4052" t="n">
        <v>0.10486</v>
      </c>
      <c r="S4052">
        <f>IMAGE("https://mitra.stanford.edu/kundaje/oak/projects/neuro-variants/variant_position/credible/roussos_2024/variant_figures/roussos_2024.childhood.GLU/rs10116211_count_position.png",4,220,900)</f>
        <v/>
      </c>
      <c r="T4052">
        <f>IMAGE("https://mitra.stanford.edu/kundaje/oak/projects/neuro-variants/variant_position/credible/roussos_2024/variant_figures/roussos_2024.childhood.GLU/rs10116211_profile_position.png",4,220,900)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-0.1834817779999999</v>
      </c>
      <c r="G4053" t="n">
        <v>0.0103714198160513</v>
      </c>
      <c r="H4053" t="n">
        <v>0.0449912642378411</v>
      </c>
      <c r="I4053" t="n">
        <v>0.0044736863283227</v>
      </c>
      <c r="J4053" t="n">
        <v>0.3751779698558727</v>
      </c>
      <c r="K4053" t="n">
        <v>0.0716795853817677</v>
      </c>
      <c r="L4053" t="b">
        <v>1</v>
      </c>
      <c r="M4053" t="b">
        <v>1</v>
      </c>
      <c r="N4053" t="inlineStr">
        <is>
          <t>ref</t>
        </is>
      </c>
      <c r="O4053" t="n">
        <v>100</v>
      </c>
      <c r="P4053" t="n">
        <v>0.01159</v>
      </c>
      <c r="Q4053" t="n">
        <v>-100</v>
      </c>
      <c r="R4053" t="n">
        <v>0.10266</v>
      </c>
      <c r="S4053">
        <f>IMAGE("https://mitra.stanford.edu/kundaje/oak/projects/neuro-variants/variant_position/credible/roussos_2024/variant_figures/roussos_2024.childhood.GLU/rs6479482_count_position.png",4,220,900)</f>
        <v/>
      </c>
      <c r="T4053">
        <f>IMAGE("https://mitra.stanford.edu/kundaje/oak/projects/neuro-variants/variant_position/credible/roussos_2024/variant_figures/roussos_2024.childhood.GLU/rs6479482_profile_position.png",4,220,900)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0.00622388488</v>
      </c>
      <c r="G4054" t="n">
        <v>0.7653566923302254</v>
      </c>
      <c r="H4054" t="n">
        <v>0.019007537654607</v>
      </c>
      <c r="I4054" t="n">
        <v>0.1205356941374816</v>
      </c>
      <c r="J4054" t="n">
        <v>0.0382550197286409</v>
      </c>
      <c r="K4054" t="n">
        <v>0.391440225138351</v>
      </c>
      <c r="L4054" t="b">
        <v>0</v>
      </c>
      <c r="M4054" t="b">
        <v>0</v>
      </c>
      <c r="N4054" t="inlineStr">
        <is>
          <t>alt</t>
        </is>
      </c>
      <c r="O4054" t="n">
        <v>-60</v>
      </c>
      <c r="P4054" t="n">
        <v>0.0621</v>
      </c>
      <c r="Q4054" t="n">
        <v>-100</v>
      </c>
      <c r="R4054" t="n">
        <v>0.0965</v>
      </c>
      <c r="S4054">
        <f>IMAGE("https://mitra.stanford.edu/kundaje/oak/projects/neuro-variants/variant_position/credible/roussos_2024/variant_figures/roussos_2024.childhood.GLU/rs12344021_count_position.png",4,220,900)</f>
        <v/>
      </c>
      <c r="T4054">
        <f>IMAGE("https://mitra.stanford.edu/kundaje/oak/projects/neuro-variants/variant_position/credible/roussos_2024/variant_figures/roussos_2024.childhood.GLU/rs12344021_profile_position.png",4,220,900)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0.01519476136</v>
      </c>
      <c r="G4055" t="n">
        <v>0.548723861594933</v>
      </c>
      <c r="H4055" t="n">
        <v>0.0221162176789657</v>
      </c>
      <c r="I4055" t="n">
        <v>0.06915804911070481</v>
      </c>
      <c r="J4055" t="n">
        <v>0.0145332605313854</v>
      </c>
      <c r="K4055" t="n">
        <v>0.5412362287366627</v>
      </c>
      <c r="L4055" t="b">
        <v>0</v>
      </c>
      <c r="M4055" t="b">
        <v>0</v>
      </c>
      <c r="N4055" t="inlineStr">
        <is>
          <t>alt</t>
        </is>
      </c>
      <c r="O4055" t="n">
        <v>35</v>
      </c>
      <c r="P4055" t="n">
        <v>0.002834</v>
      </c>
      <c r="Q4055" t="n">
        <v>50</v>
      </c>
      <c r="R4055" t="n">
        <v>0.05878</v>
      </c>
      <c r="S4055">
        <f>IMAGE("https://mitra.stanford.edu/kundaje/oak/projects/neuro-variants/variant_position/credible/roussos_2024/variant_figures/roussos_2024.childhood.GLU/rs12336645_count_position.png",4,220,900)</f>
        <v/>
      </c>
      <c r="T4055">
        <f>IMAGE("https://mitra.stanford.edu/kundaje/oak/projects/neuro-variants/variant_position/credible/roussos_2024/variant_figures/roussos_2024.childhood.GLU/rs12336645_profile_position.png",4,220,900)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-0.00875254984</v>
      </c>
      <c r="G4056" t="n">
        <v>0.6651594024717488</v>
      </c>
      <c r="H4056" t="n">
        <v>0.0261025785765758</v>
      </c>
      <c r="I4056" t="n">
        <v>0.0381081058601651</v>
      </c>
      <c r="J4056" t="n">
        <v>0.0391214315884903</v>
      </c>
      <c r="K4056" t="n">
        <v>0.4031698701255359</v>
      </c>
      <c r="L4056" t="b">
        <v>0</v>
      </c>
      <c r="M4056" t="b">
        <v>0</v>
      </c>
      <c r="N4056" t="inlineStr">
        <is>
          <t>ref</t>
        </is>
      </c>
      <c r="O4056" t="n">
        <v>70</v>
      </c>
      <c r="P4056" t="n">
        <v>0.0141</v>
      </c>
      <c r="Q4056" t="n">
        <v>-90</v>
      </c>
      <c r="R4056" t="n">
        <v>0.04553</v>
      </c>
      <c r="S4056">
        <f>IMAGE("https://mitra.stanford.edu/kundaje/oak/projects/neuro-variants/variant_position/credible/roussos_2024/variant_figures/roussos_2024.childhood.GLU/rs7023933_count_position.png",4,220,900)</f>
        <v/>
      </c>
      <c r="T4056">
        <f>IMAGE("https://mitra.stanford.edu/kundaje/oak/projects/neuro-variants/variant_position/credible/roussos_2024/variant_figures/roussos_2024.childhood.GLU/rs7023933_profile_position.png",4,220,900)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0.0003507162399999</v>
      </c>
      <c r="G4057" t="n">
        <v>0.8643508280148302</v>
      </c>
      <c r="H4057" t="n">
        <v>0.0196534940632191</v>
      </c>
      <c r="I4057" t="n">
        <v>0.1028386622818642</v>
      </c>
      <c r="J4057" t="n">
        <v>0.1081840378295403</v>
      </c>
      <c r="K4057" t="n">
        <v>0.2350630489967523</v>
      </c>
      <c r="L4057" t="b">
        <v>0</v>
      </c>
      <c r="M4057" t="b">
        <v>0</v>
      </c>
      <c r="N4057" t="inlineStr">
        <is>
          <t>alt</t>
        </is>
      </c>
      <c r="O4057" t="n">
        <v>-35</v>
      </c>
      <c r="P4057" t="n">
        <v>0.014694</v>
      </c>
      <c r="Q4057" t="n">
        <v>50</v>
      </c>
      <c r="R4057" t="n">
        <v>0.08459999999999999</v>
      </c>
      <c r="S4057">
        <f>IMAGE("https://mitra.stanford.edu/kundaje/oak/projects/neuro-variants/variant_position/credible/roussos_2024/variant_figures/roussos_2024.childhood.GLU/rs10125504_count_position.png",4,220,900)</f>
        <v/>
      </c>
      <c r="T4057">
        <f>IMAGE("https://mitra.stanford.edu/kundaje/oak/projects/neuro-variants/variant_position/credible/roussos_2024/variant_figures/roussos_2024.childhood.GLU/rs10125504_profile_position.png",4,220,900)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0.1136445868</v>
      </c>
      <c r="G4058" t="n">
        <v>0.0338284447730407</v>
      </c>
      <c r="H4058" t="n">
        <v>0.01794304585757</v>
      </c>
      <c r="I4058" t="n">
        <v>0.1399193924156082</v>
      </c>
      <c r="J4058" t="n">
        <v>0.2455149535887582</v>
      </c>
      <c r="K4058" t="n">
        <v>0.1228699739358534</v>
      </c>
      <c r="L4058" t="b">
        <v>0</v>
      </c>
      <c r="M4058" t="b">
        <v>0</v>
      </c>
      <c r="N4058" t="inlineStr">
        <is>
          <t>alt</t>
        </is>
      </c>
      <c r="O4058" t="n">
        <v>0</v>
      </c>
      <c r="P4058" t="n">
        <v>0</v>
      </c>
      <c r="Q4058" t="n">
        <v>-85</v>
      </c>
      <c r="R4058" t="n">
        <v>0.007324</v>
      </c>
      <c r="S4058">
        <f>IMAGE("https://mitra.stanford.edu/kundaje/oak/projects/neuro-variants/variant_position/credible/roussos_2024/variant_figures/roussos_2024.childhood.GLU/rs12554020_count_position.png",4,220,900)</f>
        <v/>
      </c>
      <c r="T4058">
        <f>IMAGE("https://mitra.stanford.edu/kundaje/oak/projects/neuro-variants/variant_position/credible/roussos_2024/variant_figures/roussos_2024.childhood.GLU/rs12554020_profile_position.png",4,220,900)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-0.0261952769999999</v>
      </c>
      <c r="G4059" t="n">
        <v>0.3857817836615441</v>
      </c>
      <c r="H4059" t="n">
        <v>0.0347084422984506</v>
      </c>
      <c r="I4059" t="n">
        <v>0.0117970156310249</v>
      </c>
      <c r="J4059" t="n">
        <v>0.1206280198213604</v>
      </c>
      <c r="K4059" t="n">
        <v>0.221662502505161</v>
      </c>
      <c r="L4059" t="b">
        <v>1</v>
      </c>
      <c r="M4059" t="b">
        <v>0</v>
      </c>
      <c r="N4059" t="inlineStr">
        <is>
          <t>ref</t>
        </is>
      </c>
      <c r="O4059" t="n">
        <v>70</v>
      </c>
      <c r="P4059" t="n">
        <v>0.015076</v>
      </c>
      <c r="Q4059" t="n">
        <v>75</v>
      </c>
      <c r="R4059" t="n">
        <v>0.0833</v>
      </c>
      <c r="S4059">
        <f>IMAGE("https://mitra.stanford.edu/kundaje/oak/projects/neuro-variants/variant_position/credible/roussos_2024/variant_figures/roussos_2024.childhood.GLU/rs28464341_count_position.png",4,220,900)</f>
        <v/>
      </c>
      <c r="T4059">
        <f>IMAGE("https://mitra.stanford.edu/kundaje/oak/projects/neuro-variants/variant_position/credible/roussos_2024/variant_figures/roussos_2024.childhood.GLU/rs28464341_profile_position.png",4,220,900)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0.0315051894</v>
      </c>
      <c r="G4060" t="n">
        <v>0.3203685489988424</v>
      </c>
      <c r="H4060" t="n">
        <v>0.014287564791578</v>
      </c>
      <c r="I4060" t="n">
        <v>0.2857649684736201</v>
      </c>
      <c r="J4060" t="n">
        <v>0.2156139573696519</v>
      </c>
      <c r="K4060" t="n">
        <v>0.1391848418542216</v>
      </c>
      <c r="L4060" t="b">
        <v>0</v>
      </c>
      <c r="M4060" t="b">
        <v>0</v>
      </c>
      <c r="N4060" t="inlineStr">
        <is>
          <t>alt</t>
        </is>
      </c>
      <c r="O4060" t="n">
        <v>25</v>
      </c>
      <c r="P4060" t="n">
        <v>0.001999</v>
      </c>
      <c r="Q4060" t="n">
        <v>5</v>
      </c>
      <c r="R4060" t="n">
        <v>0.005005</v>
      </c>
      <c r="S4060">
        <f>IMAGE("https://mitra.stanford.edu/kundaje/oak/projects/neuro-variants/variant_position/credible/roussos_2024/variant_figures/roussos_2024.childhood.GLU/rs7869257_count_position.png",4,220,900)</f>
        <v/>
      </c>
      <c r="T4060">
        <f>IMAGE("https://mitra.stanford.edu/kundaje/oak/projects/neuro-variants/variant_position/credible/roussos_2024/variant_figures/roussos_2024.childhood.GLU/rs7869257_profile_position.png",4,220,900)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-0.1315242539999999</v>
      </c>
      <c r="G4061" t="n">
        <v>0.0248422510019237</v>
      </c>
      <c r="H4061" t="n">
        <v>0.0166554653987956</v>
      </c>
      <c r="I4061" t="n">
        <v>0.1894305430389304</v>
      </c>
      <c r="J4061" t="n">
        <v>0.3909310064182471</v>
      </c>
      <c r="K4061" t="n">
        <v>0.0671486806143969</v>
      </c>
      <c r="L4061" t="b">
        <v>0</v>
      </c>
      <c r="M4061" t="b">
        <v>0</v>
      </c>
      <c r="N4061" t="inlineStr">
        <is>
          <t>ref</t>
        </is>
      </c>
      <c r="O4061" t="n">
        <v>-90</v>
      </c>
      <c r="P4061" t="n">
        <v>0.00923</v>
      </c>
      <c r="Q4061" t="n">
        <v>-90</v>
      </c>
      <c r="R4061" t="n">
        <v>0.2219</v>
      </c>
      <c r="S4061">
        <f>IMAGE("https://mitra.stanford.edu/kundaje/oak/projects/neuro-variants/variant_position/credible/roussos_2024/variant_figures/roussos_2024.childhood.GLU/rs7867834_count_position.png",4,220,900)</f>
        <v/>
      </c>
      <c r="T4061">
        <f>IMAGE("https://mitra.stanford.edu/kundaje/oak/projects/neuro-variants/variant_position/credible/roussos_2024/variant_figures/roussos_2024.childhood.GLU/rs7867834_profile_position.png",4,220,900)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0.003416342008</v>
      </c>
      <c r="G4062" t="n">
        <v>0.8509403558931667</v>
      </c>
      <c r="H4062" t="n">
        <v>0.0164857854432561</v>
      </c>
      <c r="I4062" t="n">
        <v>0.1839664611401615</v>
      </c>
      <c r="J4062" t="n">
        <v>0.1645203828283556</v>
      </c>
      <c r="K4062" t="n">
        <v>0.1772867986921036</v>
      </c>
      <c r="L4062" t="b">
        <v>0</v>
      </c>
      <c r="M4062" t="b">
        <v>0</v>
      </c>
      <c r="N4062" t="inlineStr">
        <is>
          <t>alt</t>
        </is>
      </c>
      <c r="O4062" t="n">
        <v>-95</v>
      </c>
      <c r="P4062" t="n">
        <v>0.008484</v>
      </c>
      <c r="Q4062" t="n">
        <v>-15</v>
      </c>
      <c r="R4062" t="n">
        <v>0.01953</v>
      </c>
      <c r="S4062">
        <f>IMAGE("https://mitra.stanford.edu/kundaje/oak/projects/neuro-variants/variant_position/credible/roussos_2024/variant_figures/roussos_2024.childhood.GLU/rs10985817_count_position.png",4,220,900)</f>
        <v/>
      </c>
      <c r="T4062">
        <f>IMAGE("https://mitra.stanford.edu/kundaje/oak/projects/neuro-variants/variant_position/credible/roussos_2024/variant_figures/roussos_2024.childhood.GLU/rs10985817_profile_position.png",4,220,900)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0.00550264928</v>
      </c>
      <c r="G4063" t="n">
        <v>0.7685971330121288</v>
      </c>
      <c r="H4063" t="n">
        <v>0.0077729777568119</v>
      </c>
      <c r="I4063" t="n">
        <v>0.8993520830977312</v>
      </c>
      <c r="J4063" t="n">
        <v>0.143688380191002</v>
      </c>
      <c r="K4063" t="n">
        <v>0.1945054951611777</v>
      </c>
      <c r="L4063" t="b">
        <v>0</v>
      </c>
      <c r="M4063" t="b">
        <v>0</v>
      </c>
      <c r="N4063" t="inlineStr">
        <is>
          <t>alt</t>
        </is>
      </c>
      <c r="O4063" t="n">
        <v>-80</v>
      </c>
      <c r="P4063" t="n">
        <v>0.05273</v>
      </c>
      <c r="Q4063" t="n">
        <v>-100</v>
      </c>
      <c r="R4063" t="n">
        <v>0.1619</v>
      </c>
      <c r="S4063">
        <f>IMAGE("https://mitra.stanford.edu/kundaje/oak/projects/neuro-variants/variant_position/credible/roussos_2024/variant_figures/roussos_2024.childhood.GLU/rs3780444_count_position.png",4,220,900)</f>
        <v/>
      </c>
      <c r="T4063">
        <f>IMAGE("https://mitra.stanford.edu/kundaje/oak/projects/neuro-variants/variant_position/credible/roussos_2024/variant_figures/roussos_2024.childhood.GLU/rs3780444_profile_position.png",4,220,900)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0.07532487439999989</v>
      </c>
      <c r="G4064" t="n">
        <v>0.08099628011192669</v>
      </c>
      <c r="H4064" t="n">
        <v>0.0192230011143151</v>
      </c>
      <c r="I4064" t="n">
        <v>0.1121358203527053</v>
      </c>
      <c r="J4064" t="n">
        <v>0.246805814540472</v>
      </c>
      <c r="K4064" t="n">
        <v>0.1203114894860397</v>
      </c>
      <c r="L4064" t="b">
        <v>0</v>
      </c>
      <c r="M4064" t="b">
        <v>0</v>
      </c>
      <c r="N4064" t="inlineStr">
        <is>
          <t>alt</t>
        </is>
      </c>
      <c r="O4064" t="n">
        <v>95</v>
      </c>
      <c r="P4064" t="n">
        <v>0.03326</v>
      </c>
      <c r="Q4064" t="n">
        <v>100</v>
      </c>
      <c r="R4064" t="n">
        <v>0.2355</v>
      </c>
      <c r="S4064">
        <f>IMAGE("https://mitra.stanford.edu/kundaje/oak/projects/neuro-variants/variant_position/credible/roussos_2024/variant_figures/roussos_2024.childhood.GLU/rs10817282_count_position.png",4,220,900)</f>
        <v/>
      </c>
      <c r="T4064">
        <f>IMAGE("https://mitra.stanford.edu/kundaje/oak/projects/neuro-variants/variant_position/credible/roussos_2024/variant_figures/roussos_2024.childhood.GLU/rs10817282_profile_position.png",4,220,900)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0.0305051556</v>
      </c>
      <c r="G4065" t="n">
        <v>0.3068828027578095</v>
      </c>
      <c r="H4065" t="n">
        <v>0.017506113210415</v>
      </c>
      <c r="I4065" t="n">
        <v>0.1572541013630383</v>
      </c>
      <c r="J4065" t="n">
        <v>0.2402484881576642</v>
      </c>
      <c r="K4065" t="n">
        <v>0.1243576853390134</v>
      </c>
      <c r="L4065" t="b">
        <v>0</v>
      </c>
      <c r="M4065" t="b">
        <v>0</v>
      </c>
      <c r="N4065" t="inlineStr">
        <is>
          <t>alt</t>
        </is>
      </c>
      <c r="O4065" t="n">
        <v>-100</v>
      </c>
      <c r="P4065" t="n">
        <v>0.02765</v>
      </c>
      <c r="Q4065" t="n">
        <v>50</v>
      </c>
      <c r="R4065" t="n">
        <v>0.05762</v>
      </c>
      <c r="S4065">
        <f>IMAGE("https://mitra.stanford.edu/kundaje/oak/projects/neuro-variants/variant_position/credible/roussos_2024/variant_figures/roussos_2024.childhood.GLU/rs1887518_count_position.png",4,220,900)</f>
        <v/>
      </c>
      <c r="T4065">
        <f>IMAGE("https://mitra.stanford.edu/kundaje/oak/projects/neuro-variants/variant_position/credible/roussos_2024/variant_figures/roussos_2024.childhood.GLU/rs1887518_profile_position.png",4,220,900)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0.084411525</v>
      </c>
      <c r="G4066" t="n">
        <v>0.0720635030107251</v>
      </c>
      <c r="H4066" t="n">
        <v>0.0133318563912724</v>
      </c>
      <c r="I4066" t="n">
        <v>0.3483420538625588</v>
      </c>
      <c r="J4066" t="n">
        <v>0.0305912411015071</v>
      </c>
      <c r="K4066" t="n">
        <v>0.4339030325005564</v>
      </c>
      <c r="L4066" t="b">
        <v>0</v>
      </c>
      <c r="M4066" t="b">
        <v>0</v>
      </c>
      <c r="N4066" t="inlineStr">
        <is>
          <t>alt</t>
        </is>
      </c>
      <c r="O4066" t="n">
        <v>15</v>
      </c>
      <c r="P4066" t="n">
        <v>0.001753</v>
      </c>
      <c r="Q4066" t="n">
        <v>5</v>
      </c>
      <c r="R4066" t="n">
        <v>0.03296</v>
      </c>
      <c r="S4066">
        <f>IMAGE("https://mitra.stanford.edu/kundaje/oak/projects/neuro-variants/variant_position/credible/roussos_2024/variant_figures/roussos_2024.childhood.GLU/rs10114558_count_position.png",4,220,900)</f>
        <v/>
      </c>
      <c r="T4066">
        <f>IMAGE("https://mitra.stanford.edu/kundaje/oak/projects/neuro-variants/variant_position/credible/roussos_2024/variant_figures/roussos_2024.childhood.GLU/rs10114558_profile_position.png",4,220,900)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-0.02801805984</v>
      </c>
      <c r="G4067" t="n">
        <v>0.4024557537761201</v>
      </c>
      <c r="H4067" t="n">
        <v>0.0130829642699364</v>
      </c>
      <c r="I4067" t="n">
        <v>0.3802046628690315</v>
      </c>
      <c r="J4067" t="n">
        <v>0.0159889560818815</v>
      </c>
      <c r="K4067" t="n">
        <v>0.5220728715231131</v>
      </c>
      <c r="L4067" t="b">
        <v>0</v>
      </c>
      <c r="M4067" t="b">
        <v>0</v>
      </c>
      <c r="N4067" t="inlineStr">
        <is>
          <t>ref</t>
        </is>
      </c>
      <c r="O4067" t="n">
        <v>95</v>
      </c>
      <c r="P4067" t="n">
        <v>0.07335999999999999</v>
      </c>
      <c r="Q4067" t="n">
        <v>90</v>
      </c>
      <c r="R4067" t="n">
        <v>0.3022</v>
      </c>
      <c r="S4067">
        <f>IMAGE("https://mitra.stanford.edu/kundaje/oak/projects/neuro-variants/variant_position/credible/roussos_2024/variant_figures/roussos_2024.childhood.GLU/rs7861162_count_position.png",4,220,900)</f>
        <v/>
      </c>
      <c r="T4067">
        <f>IMAGE("https://mitra.stanford.edu/kundaje/oak/projects/neuro-variants/variant_position/credible/roussos_2024/variant_figures/roussos_2024.childhood.GLU/rs7861162_profile_position.png",4,220,900)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0.0014183707999999</v>
      </c>
      <c r="G4068" t="n">
        <v>0.7274180176016166</v>
      </c>
      <c r="H4068" t="n">
        <v>0.009154284189939001</v>
      </c>
      <c r="I4068" t="n">
        <v>0.7446164879229237</v>
      </c>
      <c r="J4068" t="n">
        <v>0.0174487724973471</v>
      </c>
      <c r="K4068" t="n">
        <v>0.5126401756258194</v>
      </c>
      <c r="L4068" t="b">
        <v>0</v>
      </c>
      <c r="M4068" t="b">
        <v>0</v>
      </c>
      <c r="N4068" t="inlineStr">
        <is>
          <t>alt</t>
        </is>
      </c>
      <c r="O4068" t="n">
        <v>-50</v>
      </c>
      <c r="P4068" t="n">
        <v>0.04013</v>
      </c>
      <c r="Q4068" t="n">
        <v>-45</v>
      </c>
      <c r="R4068" t="n">
        <v>0.09569999999999999</v>
      </c>
      <c r="S4068">
        <f>IMAGE("https://mitra.stanford.edu/kundaje/oak/projects/neuro-variants/variant_position/credible/roussos_2024/variant_figures/roussos_2024.childhood.GLU/rs7861788_count_position.png",4,220,900)</f>
        <v/>
      </c>
      <c r="T4068">
        <f>IMAGE("https://mitra.stanford.edu/kundaje/oak/projects/neuro-variants/variant_position/credible/roussos_2024/variant_figures/roussos_2024.childhood.GLU/rs7861788_profile_position.png",4,220,900)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-0.0368223929999999</v>
      </c>
      <c r="G4069" t="n">
        <v>0.2748560298875503</v>
      </c>
      <c r="H4069" t="n">
        <v>0.010472465199636</v>
      </c>
      <c r="I4069" t="n">
        <v>0.6033693774722197</v>
      </c>
      <c r="J4069" t="n">
        <v>0.3907146610073454</v>
      </c>
      <c r="K4069" t="n">
        <v>0.0669252922972132</v>
      </c>
      <c r="L4069" t="b">
        <v>0</v>
      </c>
      <c r="M4069" t="b">
        <v>0</v>
      </c>
      <c r="N4069" t="inlineStr">
        <is>
          <t>ref</t>
        </is>
      </c>
      <c r="O4069" t="n">
        <v>-70</v>
      </c>
      <c r="P4069" t="n">
        <v>0.0112</v>
      </c>
      <c r="Q4069" t="n">
        <v>-65</v>
      </c>
      <c r="R4069" t="n">
        <v>0.2852</v>
      </c>
      <c r="S4069">
        <f>IMAGE("https://mitra.stanford.edu/kundaje/oak/projects/neuro-variants/variant_position/credible/roussos_2024/variant_figures/roussos_2024.childhood.GLU/rs7869523_count_position.png",4,220,900)</f>
        <v/>
      </c>
      <c r="T4069">
        <f>IMAGE("https://mitra.stanford.edu/kundaje/oak/projects/neuro-variants/variant_position/credible/roussos_2024/variant_figures/roussos_2024.childhood.GLU/rs7869523_profile_position.png",4,220,900)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0.01613727488</v>
      </c>
      <c r="G4070" t="n">
        <v>0.5304998138475879</v>
      </c>
      <c r="H4070" t="n">
        <v>0.0242674253096054</v>
      </c>
      <c r="I4070" t="n">
        <v>0.0515926466864585</v>
      </c>
      <c r="J4070" t="n">
        <v>0.0416227966250115</v>
      </c>
      <c r="K4070" t="n">
        <v>0.3964466797568232</v>
      </c>
      <c r="L4070" t="b">
        <v>0</v>
      </c>
      <c r="M4070" t="b">
        <v>0</v>
      </c>
      <c r="N4070" t="inlineStr">
        <is>
          <t>alt</t>
        </is>
      </c>
      <c r="O4070" t="n">
        <v>90</v>
      </c>
      <c r="P4070" t="n">
        <v>0.01671</v>
      </c>
      <c r="Q4070" t="n">
        <v>90</v>
      </c>
      <c r="R4070" t="n">
        <v>0.3325</v>
      </c>
      <c r="S4070">
        <f>IMAGE("https://mitra.stanford.edu/kundaje/oak/projects/neuro-variants/variant_position/credible/roussos_2024/variant_figures/roussos_2024.childhood.GLU/rs7871559_count_position.png",4,220,900)</f>
        <v/>
      </c>
      <c r="T4070">
        <f>IMAGE("https://mitra.stanford.edu/kundaje/oak/projects/neuro-variants/variant_position/credible/roussos_2024/variant_figures/roussos_2024.childhood.GLU/rs7871559_profile_position.png",4,220,900)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-0.0031627814</v>
      </c>
      <c r="G4071" t="n">
        <v>0.8073912176005806</v>
      </c>
      <c r="H4071" t="n">
        <v>0.0308239045998511</v>
      </c>
      <c r="I4071" t="n">
        <v>0.0188866733934346</v>
      </c>
      <c r="J4071" t="n">
        <v>0.0466760072939309</v>
      </c>
      <c r="K4071" t="n">
        <v>0.3654440497076222</v>
      </c>
      <c r="L4071" t="b">
        <v>1</v>
      </c>
      <c r="M4071" t="b">
        <v>0</v>
      </c>
      <c r="N4071" t="inlineStr">
        <is>
          <t>ref</t>
        </is>
      </c>
      <c r="O4071" t="n">
        <v>-100</v>
      </c>
      <c r="P4071" t="n">
        <v>0.02252</v>
      </c>
      <c r="Q4071" t="n">
        <v>-100</v>
      </c>
      <c r="R4071" t="n">
        <v>0.07290000000000001</v>
      </c>
      <c r="S4071">
        <f>IMAGE("https://mitra.stanford.edu/kundaje/oak/projects/neuro-variants/variant_position/credible/roussos_2024/variant_figures/roussos_2024.childhood.GLU/rs3780514_count_position.png",4,220,900)</f>
        <v/>
      </c>
      <c r="T4071">
        <f>IMAGE("https://mitra.stanford.edu/kundaje/oak/projects/neuro-variants/variant_position/credible/roussos_2024/variant_figures/roussos_2024.childhood.GLU/rs3780514_profile_position.png",4,220,900)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-0.00429926214</v>
      </c>
      <c r="G4072" t="n">
        <v>0.7393949272772634</v>
      </c>
      <c r="H4072" t="n">
        <v>0.0292792161807503</v>
      </c>
      <c r="I4072" t="n">
        <v>0.0234886707029539</v>
      </c>
      <c r="J4072" t="n">
        <v>0.0009138018069992</v>
      </c>
      <c r="K4072" t="n">
        <v>0.8320847777938317</v>
      </c>
      <c r="L4072" t="b">
        <v>0</v>
      </c>
      <c r="M4072" t="b">
        <v>0</v>
      </c>
      <c r="N4072" t="inlineStr">
        <is>
          <t>ref</t>
        </is>
      </c>
      <c r="O4072" t="n">
        <v>100</v>
      </c>
      <c r="P4072" t="n">
        <v>0.00557</v>
      </c>
      <c r="Q4072" t="n">
        <v>100</v>
      </c>
      <c r="R4072" t="n">
        <v>0.0479</v>
      </c>
      <c r="S4072">
        <f>IMAGE("https://mitra.stanford.edu/kundaje/oak/projects/neuro-variants/variant_position/credible/roussos_2024/variant_figures/roussos_2024.childhood.GLU/rs3736985_count_position.png",4,220,900)</f>
        <v/>
      </c>
      <c r="T4072">
        <f>IMAGE("https://mitra.stanford.edu/kundaje/oak/projects/neuro-variants/variant_position/credible/roussos_2024/variant_figures/roussos_2024.childhood.GLU/rs3736985_profile_position.png",4,220,900)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0.1152434711999999</v>
      </c>
      <c r="G4073" t="n">
        <v>0.0382672440534368</v>
      </c>
      <c r="H4073" t="n">
        <v>0.0331426245104732</v>
      </c>
      <c r="I4073" t="n">
        <v>0.0171855833627577</v>
      </c>
      <c r="J4073" t="n">
        <v>0.0052098035377625</v>
      </c>
      <c r="K4073" t="n">
        <v>0.6717516637685543</v>
      </c>
      <c r="L4073" t="b">
        <v>0</v>
      </c>
      <c r="M4073" t="b">
        <v>0</v>
      </c>
      <c r="N4073" t="inlineStr">
        <is>
          <t>alt</t>
        </is>
      </c>
      <c r="O4073" t="n">
        <v>-75</v>
      </c>
      <c r="P4073" t="n">
        <v>0.002243</v>
      </c>
      <c r="Q4073" t="n">
        <v>100</v>
      </c>
      <c r="R4073" t="n">
        <v>0.1034</v>
      </c>
      <c r="S4073">
        <f>IMAGE("https://mitra.stanford.edu/kundaje/oak/projects/neuro-variants/variant_position/credible/roussos_2024/variant_figures/roussos_2024.childhood.GLU/rs7026917_count_position.png",4,220,900)</f>
        <v/>
      </c>
      <c r="T4073">
        <f>IMAGE("https://mitra.stanford.edu/kundaje/oak/projects/neuro-variants/variant_position/credible/roussos_2024/variant_figures/roussos_2024.childhood.GLU/rs7026917_profile_position.png",4,220,900)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-0.0001122792399999</v>
      </c>
      <c r="G4074" t="n">
        <v>0.7975953611970084</v>
      </c>
      <c r="H4074" t="n">
        <v>0.0110839820644562</v>
      </c>
      <c r="I4074" t="n">
        <v>0.5410258346424525</v>
      </c>
      <c r="J4074" t="n">
        <v>0.0011713558675965</v>
      </c>
      <c r="K4074" t="n">
        <v>0.815300409775044</v>
      </c>
      <c r="L4074" t="b">
        <v>0</v>
      </c>
      <c r="M4074" t="b">
        <v>0</v>
      </c>
      <c r="N4074" t="inlineStr">
        <is>
          <t>ref</t>
        </is>
      </c>
      <c r="O4074" t="n">
        <v>100</v>
      </c>
      <c r="P4074" t="n">
        <v>0.007217</v>
      </c>
      <c r="Q4074" t="n">
        <v>-60</v>
      </c>
      <c r="R4074" t="n">
        <v>0.08923</v>
      </c>
      <c r="S4074">
        <f>IMAGE("https://mitra.stanford.edu/kundaje/oak/projects/neuro-variants/variant_position/credible/roussos_2024/variant_figures/roussos_2024.childhood.GLU/rs7021564_count_position.png",4,220,900)</f>
        <v/>
      </c>
      <c r="T4074">
        <f>IMAGE("https://mitra.stanford.edu/kundaje/oak/projects/neuro-variants/variant_position/credible/roussos_2024/variant_figures/roussos_2024.childhood.GLU/rs7021564_profile_position.png",4,220,900)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0.001408972086</v>
      </c>
      <c r="G4075" t="n">
        <v>0.7712604277372451</v>
      </c>
      <c r="H4075" t="n">
        <v>0.0067987337190524</v>
      </c>
      <c r="I4075" t="n">
        <v>0.9493887985568265</v>
      </c>
      <c r="J4075" t="n">
        <v>0.0010734853245695</v>
      </c>
      <c r="K4075" t="n">
        <v>0.8152466966984279</v>
      </c>
      <c r="L4075" t="b">
        <v>0</v>
      </c>
      <c r="M4075" t="b">
        <v>0</v>
      </c>
      <c r="N4075" t="inlineStr">
        <is>
          <t>alt</t>
        </is>
      </c>
      <c r="O4075" t="n">
        <v>0</v>
      </c>
      <c r="P4075" t="n">
        <v>0</v>
      </c>
      <c r="Q4075" t="n">
        <v>-70</v>
      </c>
      <c r="R4075" t="n">
        <v>0.155</v>
      </c>
      <c r="S4075">
        <f>IMAGE("https://mitra.stanford.edu/kundaje/oak/projects/neuro-variants/variant_position/credible/roussos_2024/variant_figures/roussos_2024.childhood.GLU/rs7033486_count_position.png",4,220,900)</f>
        <v/>
      </c>
      <c r="T4075">
        <f>IMAGE("https://mitra.stanford.edu/kundaje/oak/projects/neuro-variants/variant_position/credible/roussos_2024/variant_figures/roussos_2024.childhood.GLU/rs7033486_profile_position.png",4,220,900)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-0.0065807112399999</v>
      </c>
      <c r="G4076" t="n">
        <v>0.6874010314974954</v>
      </c>
      <c r="H4076" t="n">
        <v>0.0139062496570632</v>
      </c>
      <c r="I4076" t="n">
        <v>0.3070322051139431</v>
      </c>
      <c r="J4076" t="n">
        <v>0.0147290016174394</v>
      </c>
      <c r="K4076" t="n">
        <v>0.5553870685226768</v>
      </c>
      <c r="L4076" t="b">
        <v>0</v>
      </c>
      <c r="M4076" t="b">
        <v>0</v>
      </c>
      <c r="N4076" t="inlineStr">
        <is>
          <t>ref</t>
        </is>
      </c>
      <c r="O4076" t="n">
        <v>100</v>
      </c>
      <c r="P4076" t="n">
        <v>0.007996</v>
      </c>
      <c r="Q4076" t="n">
        <v>100</v>
      </c>
      <c r="R4076" t="n">
        <v>0.0466</v>
      </c>
      <c r="S4076">
        <f>IMAGE("https://mitra.stanford.edu/kundaje/oak/projects/neuro-variants/variant_position/credible/roussos_2024/variant_figures/roussos_2024.childhood.GLU/rs11792718_count_position.png",4,220,900)</f>
        <v/>
      </c>
      <c r="T4076">
        <f>IMAGE("https://mitra.stanford.edu/kundaje/oak/projects/neuro-variants/variant_position/credible/roussos_2024/variant_figures/roussos_2024.childhood.GLU/rs11792718_profile_position.png",4,220,900)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0.0057248868</v>
      </c>
      <c r="G4077" t="n">
        <v>0.597072771245143</v>
      </c>
      <c r="H4077" t="n">
        <v>0.0156779903902553</v>
      </c>
      <c r="I4077" t="n">
        <v>0.2152510469041895</v>
      </c>
      <c r="J4077" t="n">
        <v>0.0023828901686463</v>
      </c>
      <c r="K4077" t="n">
        <v>0.7594335470884441</v>
      </c>
      <c r="L4077" t="b">
        <v>0</v>
      </c>
      <c r="M4077" t="b">
        <v>0</v>
      </c>
      <c r="N4077" t="inlineStr">
        <is>
          <t>alt</t>
        </is>
      </c>
      <c r="O4077" t="n">
        <v>90</v>
      </c>
      <c r="P4077" t="n">
        <v>0.00241</v>
      </c>
      <c r="Q4077" t="n">
        <v>75</v>
      </c>
      <c r="R4077" t="n">
        <v>0.05252</v>
      </c>
      <c r="S4077">
        <f>IMAGE("https://mitra.stanford.edu/kundaje/oak/projects/neuro-variants/variant_position/credible/roussos_2024/variant_figures/roussos_2024.childhood.GLU/rs6477903_count_position.png",4,220,900)</f>
        <v/>
      </c>
      <c r="T4077">
        <f>IMAGE("https://mitra.stanford.edu/kundaje/oak/projects/neuro-variants/variant_position/credible/roussos_2024/variant_figures/roussos_2024.childhood.GLU/rs6477903_profile_position.png",4,220,900)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-0.0440791208</v>
      </c>
      <c r="G4078" t="n">
        <v>0.2318078546587179</v>
      </c>
      <c r="H4078" t="n">
        <v>0.0230858208729728</v>
      </c>
      <c r="I4078" t="n">
        <v>0.0588023380992132</v>
      </c>
      <c r="J4078" t="n">
        <v>0.0087042970319469</v>
      </c>
      <c r="K4078" t="n">
        <v>0.6154334842456668</v>
      </c>
      <c r="L4078" t="b">
        <v>0</v>
      </c>
      <c r="M4078" t="b">
        <v>0</v>
      </c>
      <c r="N4078" t="inlineStr">
        <is>
          <t>ref</t>
        </is>
      </c>
      <c r="O4078" t="n">
        <v>75</v>
      </c>
      <c r="P4078" t="n">
        <v>0.00714</v>
      </c>
      <c r="Q4078" t="n">
        <v>-100</v>
      </c>
      <c r="R4078" t="n">
        <v>0.1077</v>
      </c>
      <c r="S4078">
        <f>IMAGE("https://mitra.stanford.edu/kundaje/oak/projects/neuro-variants/variant_position/credible/roussos_2024/variant_figures/roussos_2024.childhood.GLU/rs4979090_count_position.png",4,220,900)</f>
        <v/>
      </c>
      <c r="T4078">
        <f>IMAGE("https://mitra.stanford.edu/kundaje/oak/projects/neuro-variants/variant_position/credible/roussos_2024/variant_figures/roussos_2024.childhood.GLU/rs4979090_profile_position.png",4,220,900)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-0.1727689</v>
      </c>
      <c r="G4079" t="n">
        <v>0.015357848213541</v>
      </c>
      <c r="H4079" t="n">
        <v>0.0300385434127577</v>
      </c>
      <c r="I4079" t="n">
        <v>0.0306863443888891</v>
      </c>
      <c r="J4079" t="n">
        <v>0.0234075432433267</v>
      </c>
      <c r="K4079" t="n">
        <v>0.4741437093746843</v>
      </c>
      <c r="L4079" t="b">
        <v>1</v>
      </c>
      <c r="M4079" t="b">
        <v>0</v>
      </c>
      <c r="N4079" t="inlineStr">
        <is>
          <t>ref</t>
        </is>
      </c>
      <c r="O4079" t="n">
        <v>85</v>
      </c>
      <c r="P4079" t="n">
        <v>0.002014</v>
      </c>
      <c r="Q4079" t="n">
        <v>100</v>
      </c>
      <c r="R4079" t="n">
        <v>0.0736</v>
      </c>
      <c r="S4079">
        <f>IMAGE("https://mitra.stanford.edu/kundaje/oak/projects/neuro-variants/variant_position/credible/roussos_2024/variant_figures/roussos_2024.childhood.GLU/rs7027240_count_position.png",4,220,900)</f>
        <v/>
      </c>
      <c r="T4079">
        <f>IMAGE("https://mitra.stanford.edu/kundaje/oak/projects/neuro-variants/variant_position/credible/roussos_2024/variant_figures/roussos_2024.childhood.GLU/rs7027240_profile_position.png",4,220,900)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-0.0289215712</v>
      </c>
      <c r="G4080" t="n">
        <v>0.3506993173536386</v>
      </c>
      <c r="H4080" t="n">
        <v>0.0141543888358046</v>
      </c>
      <c r="I4080" t="n">
        <v>0.3013434061172725</v>
      </c>
      <c r="J4080" t="n">
        <v>0.0045968248735408</v>
      </c>
      <c r="K4080" t="n">
        <v>0.6820006246194089</v>
      </c>
      <c r="L4080" t="b">
        <v>0</v>
      </c>
      <c r="M4080" t="b">
        <v>0</v>
      </c>
      <c r="N4080" t="inlineStr">
        <is>
          <t>ref</t>
        </is>
      </c>
      <c r="O4080" t="n">
        <v>100</v>
      </c>
      <c r="P4080" t="n">
        <v>0.003391</v>
      </c>
      <c r="Q4080" t="n">
        <v>55</v>
      </c>
      <c r="R4080" t="n">
        <v>0.01648</v>
      </c>
      <c r="S4080">
        <f>IMAGE("https://mitra.stanford.edu/kundaje/oak/projects/neuro-variants/variant_position/credible/roussos_2024/variant_figures/roussos_2024.childhood.GLU/rs10817308_count_position.png",4,220,900)</f>
        <v/>
      </c>
      <c r="T4080">
        <f>IMAGE("https://mitra.stanford.edu/kundaje/oak/projects/neuro-variants/variant_position/credible/roussos_2024/variant_figures/roussos_2024.childhood.GLU/rs10817308_profile_position.png",4,220,900)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-0.1193008285999999</v>
      </c>
      <c r="G4081" t="n">
        <v>0.0424157164006269</v>
      </c>
      <c r="H4081" t="n">
        <v>0.0275206663658152</v>
      </c>
      <c r="I4081" t="n">
        <v>0.0297978093437352</v>
      </c>
      <c r="J4081" t="n">
        <v>0.0041569225380406</v>
      </c>
      <c r="K4081" t="n">
        <v>0.7040784790149744</v>
      </c>
      <c r="L4081" t="b">
        <v>0</v>
      </c>
      <c r="M4081" t="b">
        <v>0</v>
      </c>
      <c r="N4081" t="inlineStr">
        <is>
          <t>ref</t>
        </is>
      </c>
      <c r="O4081" t="n">
        <v>95</v>
      </c>
      <c r="P4081" t="n">
        <v>0.004116</v>
      </c>
      <c r="Q4081" t="n">
        <v>45</v>
      </c>
      <c r="R4081" t="n">
        <v>0.1633</v>
      </c>
      <c r="S4081">
        <f>IMAGE("https://mitra.stanford.edu/kundaje/oak/projects/neuro-variants/variant_position/credible/roussos_2024/variant_figures/roussos_2024.childhood.GLU/rs12376681_count_position.png",4,220,900)</f>
        <v/>
      </c>
      <c r="T4081">
        <f>IMAGE("https://mitra.stanford.edu/kundaje/oak/projects/neuro-variants/variant_position/credible/roussos_2024/variant_figures/roussos_2024.childhood.GLU/rs12376681_profile_position.png",4,220,900)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0.049239021</v>
      </c>
      <c r="G4082" t="n">
        <v>0.1823637867691032</v>
      </c>
      <c r="H4082" t="n">
        <v>0.0090629300147328</v>
      </c>
      <c r="I4082" t="n">
        <v>0.7629339290553036</v>
      </c>
      <c r="J4082" t="n">
        <v>0.0021057619994436</v>
      </c>
      <c r="K4082" t="n">
        <v>0.7611800803165402</v>
      </c>
      <c r="L4082" t="b">
        <v>0</v>
      </c>
      <c r="M4082" t="b">
        <v>0</v>
      </c>
      <c r="N4082" t="inlineStr">
        <is>
          <t>alt</t>
        </is>
      </c>
      <c r="O4082" t="n">
        <v>-90</v>
      </c>
      <c r="P4082" t="n">
        <v>0.03044</v>
      </c>
      <c r="Q4082" t="n">
        <v>35</v>
      </c>
      <c r="R4082" t="n">
        <v>0.010315</v>
      </c>
      <c r="S4082">
        <f>IMAGE("https://mitra.stanford.edu/kundaje/oak/projects/neuro-variants/variant_position/credible/roussos_2024/variant_figures/roussos_2024.childhood.GLU/rs4978484_count_position.png",4,220,900)</f>
        <v/>
      </c>
      <c r="T4082">
        <f>IMAGE("https://mitra.stanford.edu/kundaje/oak/projects/neuro-variants/variant_position/credible/roussos_2024/variant_figures/roussos_2024.childhood.GLU/rs4978484_profile_position.png",4,220,900)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0.0500730012</v>
      </c>
      <c r="G4083" t="n">
        <v>0.1803137058558644</v>
      </c>
      <c r="H4083" t="n">
        <v>0.0257669575132024</v>
      </c>
      <c r="I4083" t="n">
        <v>0.0398702018612596</v>
      </c>
      <c r="J4083" t="n">
        <v>0.0067561581175888</v>
      </c>
      <c r="K4083" t="n">
        <v>0.6397797903369717</v>
      </c>
      <c r="L4083" t="b">
        <v>0</v>
      </c>
      <c r="M4083" t="b">
        <v>0</v>
      </c>
      <c r="N4083" t="inlineStr">
        <is>
          <t>alt</t>
        </is>
      </c>
      <c r="O4083" t="n">
        <v>-10</v>
      </c>
      <c r="P4083" t="n">
        <v>0.001968</v>
      </c>
      <c r="Q4083" t="n">
        <v>55</v>
      </c>
      <c r="R4083" t="n">
        <v>0.01367</v>
      </c>
      <c r="S4083">
        <f>IMAGE("https://mitra.stanford.edu/kundaje/oak/projects/neuro-variants/variant_position/credible/roussos_2024/variant_figures/roussos_2024.childhood.GLU/rs4979103_count_position.png",4,220,900)</f>
        <v/>
      </c>
      <c r="T4083">
        <f>IMAGE("https://mitra.stanford.edu/kundaje/oak/projects/neuro-variants/variant_position/credible/roussos_2024/variant_figures/roussos_2024.childhood.GLU/rs4979103_profile_position.png",4,220,900)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-0.00797259428</v>
      </c>
      <c r="G4084" t="n">
        <v>0.7165540944510627</v>
      </c>
      <c r="H4084" t="n">
        <v>0.0094998158890489</v>
      </c>
      <c r="I4084" t="n">
        <v>0.7199463653341798</v>
      </c>
      <c r="J4084" t="n">
        <v>0.2377399116074463</v>
      </c>
      <c r="K4084" t="n">
        <v>0.1259981597371709</v>
      </c>
      <c r="L4084" t="b">
        <v>0</v>
      </c>
      <c r="M4084" t="b">
        <v>0</v>
      </c>
      <c r="N4084" t="inlineStr">
        <is>
          <t>ref</t>
        </is>
      </c>
      <c r="O4084" t="n">
        <v>-25</v>
      </c>
      <c r="P4084" t="n">
        <v>0.00182</v>
      </c>
      <c r="Q4084" t="n">
        <v>-75</v>
      </c>
      <c r="R4084" t="n">
        <v>0.2344</v>
      </c>
      <c r="S4084">
        <f>IMAGE("https://mitra.stanford.edu/kundaje/oak/projects/neuro-variants/variant_position/credible/roussos_2024/variant_figures/roussos_2024.childhood.GLU/rs10817323_count_position.png",4,220,900)</f>
        <v/>
      </c>
      <c r="T4084">
        <f>IMAGE("https://mitra.stanford.edu/kundaje/oak/projects/neuro-variants/variant_position/credible/roussos_2024/variant_figures/roussos_2024.childhood.GLU/rs10817323_profile_position.png",4,220,900)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0.098167292</v>
      </c>
      <c r="G4085" t="n">
        <v>0.0447638046143272</v>
      </c>
      <c r="H4085" t="n">
        <v>0.0167055403839012</v>
      </c>
      <c r="I4085" t="n">
        <v>0.17724053083121</v>
      </c>
      <c r="J4085" t="n">
        <v>0.3566402587903201</v>
      </c>
      <c r="K4085" t="n">
        <v>0.0767978651047455</v>
      </c>
      <c r="L4085" t="b">
        <v>0</v>
      </c>
      <c r="M4085" t="b">
        <v>0</v>
      </c>
      <c r="N4085" t="inlineStr">
        <is>
          <t>alt</t>
        </is>
      </c>
      <c r="O4085" t="n">
        <v>30</v>
      </c>
      <c r="P4085" t="n">
        <v>0.0141</v>
      </c>
      <c r="Q4085" t="n">
        <v>-90</v>
      </c>
      <c r="R4085" t="n">
        <v>0.2249</v>
      </c>
      <c r="S4085">
        <f>IMAGE("https://mitra.stanford.edu/kundaje/oak/projects/neuro-variants/variant_position/credible/roussos_2024/variant_figures/roussos_2024.childhood.GLU/rs11790388_count_position.png",4,220,900)</f>
        <v/>
      </c>
      <c r="T4085">
        <f>IMAGE("https://mitra.stanford.edu/kundaje/oak/projects/neuro-variants/variant_position/credible/roussos_2024/variant_figures/roussos_2024.childhood.GLU/rs11790388_profile_position.png",4,220,900)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0.143913212</v>
      </c>
      <c r="G4086" t="n">
        <v>0.0203229124365628</v>
      </c>
      <c r="H4086" t="n">
        <v>0.0391031217117632</v>
      </c>
      <c r="I4086" t="n">
        <v>0.008304524889349</v>
      </c>
      <c r="J4086" t="n">
        <v>0.4716577209556286</v>
      </c>
      <c r="K4086" t="n">
        <v>0.0476639883900497</v>
      </c>
      <c r="L4086" t="b">
        <v>1</v>
      </c>
      <c r="M4086" t="b">
        <v>1</v>
      </c>
      <c r="N4086" t="inlineStr">
        <is>
          <t>alt</t>
        </is>
      </c>
      <c r="O4086" t="n">
        <v>-5</v>
      </c>
      <c r="P4086" t="n">
        <v>0.00148</v>
      </c>
      <c r="Q4086" t="n">
        <v>-10</v>
      </c>
      <c r="R4086" t="n">
        <v>0.003662</v>
      </c>
      <c r="S4086">
        <f>IMAGE("https://mitra.stanford.edu/kundaje/oak/projects/neuro-variants/variant_position/credible/roussos_2024/variant_figures/roussos_2024.childhood.GLU/rs7868607_count_position.png",4,220,900)</f>
        <v/>
      </c>
      <c r="T4086">
        <f>IMAGE("https://mitra.stanford.edu/kundaje/oak/projects/neuro-variants/variant_position/credible/roussos_2024/variant_figures/roussos_2024.childhood.GLU/rs7868607_profile_position.png",4,220,900)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-0.441379512</v>
      </c>
      <c r="G4087" t="n">
        <v>0.0004656374750355</v>
      </c>
      <c r="H4087" t="n">
        <v>0.1177823356593564</v>
      </c>
      <c r="I4087" t="n">
        <v>0.0001347020533609</v>
      </c>
      <c r="J4087" t="n">
        <v>0.5264559531045567</v>
      </c>
      <c r="K4087" t="n">
        <v>0.037554602556172</v>
      </c>
      <c r="L4087" t="b">
        <v>1</v>
      </c>
      <c r="M4087" t="b">
        <v>1</v>
      </c>
      <c r="N4087" t="inlineStr">
        <is>
          <t>ref</t>
        </is>
      </c>
      <c r="O4087" t="n">
        <v>50</v>
      </c>
      <c r="P4087" t="n">
        <v>0.00598</v>
      </c>
      <c r="Q4087" t="n">
        <v>55</v>
      </c>
      <c r="R4087" t="n">
        <v>0.05054</v>
      </c>
      <c r="S4087">
        <f>IMAGE("https://mitra.stanford.edu/kundaje/oak/projects/neuro-variants/variant_position/credible/roussos_2024/variant_figures/roussos_2024.childhood.GLU/rs56199530_count_position.png",4,220,900)</f>
        <v/>
      </c>
      <c r="T4087">
        <f>IMAGE("https://mitra.stanford.edu/kundaje/oak/projects/neuro-variants/variant_position/credible/roussos_2024/variant_figures/roussos_2024.childhood.GLU/rs56199530_profile_position.png",4,220,900)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0.0518893044</v>
      </c>
      <c r="G4088" t="n">
        <v>0.1695678927555197</v>
      </c>
      <c r="H4088" t="n">
        <v>0.0118368544462608</v>
      </c>
      <c r="I4088" t="n">
        <v>0.4623002674243443</v>
      </c>
      <c r="J4088" t="n">
        <v>0.5488106153481616</v>
      </c>
      <c r="K4088" t="n">
        <v>0.0343511741476896</v>
      </c>
      <c r="L4088" t="b">
        <v>0</v>
      </c>
      <c r="M4088" t="b">
        <v>0</v>
      </c>
      <c r="N4088" t="inlineStr">
        <is>
          <t>alt</t>
        </is>
      </c>
      <c r="O4088" t="n">
        <v>-100</v>
      </c>
      <c r="P4088" t="n">
        <v>0.003532</v>
      </c>
      <c r="Q4088" t="n">
        <v>-75</v>
      </c>
      <c r="R4088" t="n">
        <v>0.135</v>
      </c>
      <c r="S4088">
        <f>IMAGE("https://mitra.stanford.edu/kundaje/oak/projects/neuro-variants/variant_position/credible/roussos_2024/variant_figures/roussos_2024.childhood.GLU/rs10867090_count_position.png",4,220,900)</f>
        <v/>
      </c>
      <c r="T4088">
        <f>IMAGE("https://mitra.stanford.edu/kundaje/oak/projects/neuro-variants/variant_position/credible/roussos_2024/variant_figures/roussos_2024.childhood.GLU/rs10867090_profile_position.png",4,220,900)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-0.0188732407</v>
      </c>
      <c r="G4089" t="n">
        <v>0.4956410087527216</v>
      </c>
      <c r="H4089" t="n">
        <v>0.0119458724452601</v>
      </c>
      <c r="I4089" t="n">
        <v>0.453649878314086</v>
      </c>
      <c r="J4089" t="n">
        <v>0.4473415269865144</v>
      </c>
      <c r="K4089" t="n">
        <v>0.0532405082474199</v>
      </c>
      <c r="L4089" t="b">
        <v>0</v>
      </c>
      <c r="M4089" t="b">
        <v>0</v>
      </c>
      <c r="N4089" t="inlineStr">
        <is>
          <t>ref</t>
        </is>
      </c>
      <c r="O4089" t="n">
        <v>-100</v>
      </c>
      <c r="P4089" t="n">
        <v>0.004864</v>
      </c>
      <c r="Q4089" t="n">
        <v>-65</v>
      </c>
      <c r="R4089" t="n">
        <v>0.1868</v>
      </c>
      <c r="S4089">
        <f>IMAGE("https://mitra.stanford.edu/kundaje/oak/projects/neuro-variants/variant_position/credible/roussos_2024/variant_figures/roussos_2024.childhood.GLU/rs7042228_count_position.png",4,220,900)</f>
        <v/>
      </c>
      <c r="T4089">
        <f>IMAGE("https://mitra.stanford.edu/kundaje/oak/projects/neuro-variants/variant_position/credible/roussos_2024/variant_figures/roussos_2024.childhood.GLU/rs7042228_profile_position.png",4,220,900)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0.0181047895199999</v>
      </c>
      <c r="G4090" t="n">
        <v>0.4916805294103235</v>
      </c>
      <c r="H4090" t="n">
        <v>0.012353816332251</v>
      </c>
      <c r="I4090" t="n">
        <v>0.4249197592578558</v>
      </c>
      <c r="J4090" t="n">
        <v>0.0328041455901593</v>
      </c>
      <c r="K4090" t="n">
        <v>0.4337414861594802</v>
      </c>
      <c r="L4090" t="b">
        <v>0</v>
      </c>
      <c r="M4090" t="b">
        <v>0</v>
      </c>
      <c r="N4090" t="inlineStr">
        <is>
          <t>alt</t>
        </is>
      </c>
      <c r="O4090" t="n">
        <v>-100</v>
      </c>
      <c r="P4090" t="n">
        <v>0.003632</v>
      </c>
      <c r="Q4090" t="n">
        <v>-95</v>
      </c>
      <c r="R4090" t="n">
        <v>0.1509</v>
      </c>
      <c r="S4090">
        <f>IMAGE("https://mitra.stanford.edu/kundaje/oak/projects/neuro-variants/variant_position/credible/roussos_2024/variant_figures/roussos_2024.childhood.GLU/rs7855572_count_position.png",4,220,900)</f>
        <v/>
      </c>
      <c r="T4090">
        <f>IMAGE("https://mitra.stanford.edu/kundaje/oak/projects/neuro-variants/variant_position/credible/roussos_2024/variant_figures/roussos_2024.childhood.GLU/rs7855572_profile_position.png",4,220,900)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-0.01097408804</v>
      </c>
      <c r="G4091" t="n">
        <v>0.6320415375064407</v>
      </c>
      <c r="H4091" t="n">
        <v>0.0162723676247531</v>
      </c>
      <c r="I4091" t="n">
        <v>0.1933641290912054</v>
      </c>
      <c r="J4091" t="n">
        <v>0.3725488580052953</v>
      </c>
      <c r="K4091" t="n">
        <v>0.0716137285616557</v>
      </c>
      <c r="L4091" t="b">
        <v>0</v>
      </c>
      <c r="M4091" t="b">
        <v>0</v>
      </c>
      <c r="N4091" t="inlineStr">
        <is>
          <t>ref</t>
        </is>
      </c>
      <c r="O4091" t="n">
        <v>100</v>
      </c>
      <c r="P4091" t="n">
        <v>0.002903</v>
      </c>
      <c r="Q4091" t="n">
        <v>-95</v>
      </c>
      <c r="R4091" t="n">
        <v>0.218</v>
      </c>
      <c r="S4091">
        <f>IMAGE("https://mitra.stanford.edu/kundaje/oak/projects/neuro-variants/variant_position/credible/roussos_2024/variant_figures/roussos_2024.childhood.GLU/rs62580940_count_position.png",4,220,900)</f>
        <v/>
      </c>
      <c r="T4091">
        <f>IMAGE("https://mitra.stanford.edu/kundaje/oak/projects/neuro-variants/variant_position/credible/roussos_2024/variant_figures/roussos_2024.childhood.GLU/rs62580940_profile_position.png",4,220,900)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2025-12-18T17:43:59Z</dcterms:created>
  <dcterms:modified xmlns:dcterms="http://purl.org/dc/terms/" xmlns:xsi="http://www.w3.org/2001/XMLSchema-instance" xsi:type="dcterms:W3CDTF">2025-12-18T17:44:00Z</dcterms:modified>
</cp:coreProperties>
</file>